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20" windowHeight="8325" tabRatio="919" activeTab="0"/>
  </bookViews>
  <sheets>
    <sheet name="Cover Page" sheetId="1" r:id="rId1"/>
    <sheet name="Answer Report 1" sheetId="2" r:id="rId2"/>
    <sheet name="Unit Cost Figures" sheetId="3" r:id="rId3"/>
    <sheet name="Results" sheetId="4" r:id="rId4"/>
    <sheet name="Scaled, Option 1" sheetId="5" r:id="rId5"/>
    <sheet name="Scaled, Option 2" sheetId="6" r:id="rId6"/>
    <sheet name="Scaled, option 3" sheetId="7" r:id="rId7"/>
    <sheet name="Scaled, Option 1 with Prob" sheetId="8" r:id="rId8"/>
    <sheet name="Scaled, Option 2 with Prob" sheetId="9" r:id="rId9"/>
    <sheet name="unscaled model" sheetId="10" r:id="rId10"/>
  </sheets>
  <externalReferences>
    <externalReference r:id="rId13"/>
  </externalReferences>
  <definedNames>
    <definedName name="_xlnm.Print_Area" localSheetId="8">'Scaled, Option 2 with Prob'!$A$1:$AA$97</definedName>
    <definedName name="solver_adj" localSheetId="4" hidden="1">'Scaled, Option 1'!$C$10:$AA$10,'Scaled, Option 1'!$B$43:$B$44,'Scaled, Option 1'!$D$43:$D$45</definedName>
    <definedName name="solver_adj" localSheetId="7" hidden="1">'Scaled, Option 1 with Prob'!$C$10:$AA$10,'Scaled, Option 1 with Prob'!$B$43:$B$44,'Scaled, Option 1 with Prob'!$D$43:$D$45</definedName>
    <definedName name="solver_adj" localSheetId="5" hidden="1">'Scaled, Option 2'!$C$10:$AA$10,'Scaled, Option 2'!$B$43:$B$44,'Scaled, Option 2'!$D$43:$D$45</definedName>
    <definedName name="solver_adj" localSheetId="8" hidden="1">'Scaled, Option 2 with Prob'!$C$10:$AA$10,'Scaled, Option 2 with Prob'!$B$43:$B$44,'Scaled, Option 2 with Prob'!$D$43:$D$45</definedName>
    <definedName name="solver_adj" localSheetId="6" hidden="1">'Scaled, option 3'!$C$10:$AA$10,'Scaled, option 3'!$B$43:$B$44,'Scaled, option 3'!$D$43:$D$45</definedName>
    <definedName name="solver_adj" localSheetId="9" hidden="1">'unscaled model'!$C$10:$AA$10,'unscaled model'!$B$43:$B$44,'unscaled model'!$D$43:$D$45</definedName>
    <definedName name="solver_cvg" localSheetId="4" hidden="1">0.0001</definedName>
    <definedName name="solver_cvg" localSheetId="7" hidden="1">0.0001</definedName>
    <definedName name="solver_cvg" localSheetId="5" hidden="1">0.0001</definedName>
    <definedName name="solver_cvg" localSheetId="8" hidden="1">0.0001</definedName>
    <definedName name="solver_cvg" localSheetId="6" hidden="1">0.0001</definedName>
    <definedName name="solver_cvg" localSheetId="9" hidden="1">0.0001</definedName>
    <definedName name="solver_drv" localSheetId="4" hidden="1">1</definedName>
    <definedName name="solver_drv" localSheetId="7" hidden="1">1</definedName>
    <definedName name="solver_drv" localSheetId="5" hidden="1">1</definedName>
    <definedName name="solver_drv" localSheetId="8" hidden="1">1</definedName>
    <definedName name="solver_drv" localSheetId="6" hidden="1">1</definedName>
    <definedName name="solver_drv" localSheetId="9" hidden="1">1</definedName>
    <definedName name="solver_eng" localSheetId="4" hidden="1">2</definedName>
    <definedName name="solver_eng" localSheetId="7" hidden="1">2</definedName>
    <definedName name="solver_eng" localSheetId="5" hidden="1">2</definedName>
    <definedName name="solver_eng" localSheetId="8" hidden="1">2</definedName>
    <definedName name="solver_eng" localSheetId="6" hidden="1">2</definedName>
    <definedName name="solver_eng" localSheetId="9" hidden="1">2</definedName>
    <definedName name="solver_est" localSheetId="4" hidden="1">1</definedName>
    <definedName name="solver_est" localSheetId="7" hidden="1">1</definedName>
    <definedName name="solver_est" localSheetId="5" hidden="1">1</definedName>
    <definedName name="solver_est" localSheetId="8" hidden="1">1</definedName>
    <definedName name="solver_est" localSheetId="6" hidden="1">1</definedName>
    <definedName name="solver_est" localSheetId="9" hidden="1">1</definedName>
    <definedName name="solver_ibd" localSheetId="4" hidden="1">2</definedName>
    <definedName name="solver_ibd" localSheetId="7" hidden="1">2</definedName>
    <definedName name="solver_ibd" localSheetId="5" hidden="1">2</definedName>
    <definedName name="solver_ibd" localSheetId="8" hidden="1">2</definedName>
    <definedName name="solver_ibd" localSheetId="6" hidden="1">2</definedName>
    <definedName name="solver_ibd" localSheetId="9" hidden="1">2</definedName>
    <definedName name="solver_itr" localSheetId="4" hidden="1">1000</definedName>
    <definedName name="solver_itr" localSheetId="7" hidden="1">1000</definedName>
    <definedName name="solver_itr" localSheetId="5" hidden="1">1000</definedName>
    <definedName name="solver_itr" localSheetId="8" hidden="1">1000</definedName>
    <definedName name="solver_itr" localSheetId="6" hidden="1">1000</definedName>
    <definedName name="solver_itr" localSheetId="9" hidden="1">1000</definedName>
    <definedName name="solver_lhs1" localSheetId="4" hidden="1">'Scaled, Option 1'!$B$43:$B$44</definedName>
    <definedName name="solver_lhs1" localSheetId="7" hidden="1">'Scaled, Option 1 with Prob'!$B$43:$B$44</definedName>
    <definedName name="solver_lhs1" localSheetId="5" hidden="1">'Scaled, Option 2'!$B$43:$B$44</definedName>
    <definedName name="solver_lhs1" localSheetId="8" hidden="1">'Scaled, Option 2 with Prob'!$B$43:$B$44</definedName>
    <definedName name="solver_lhs1" localSheetId="6" hidden="1">'Scaled, option 3'!$B$43:$B$44</definedName>
    <definedName name="solver_lhs1" localSheetId="9" hidden="1">'unscaled model'!$B$43:$B$44</definedName>
    <definedName name="solver_lhs10" localSheetId="4" hidden="1">'Scaled, Option 1'!$C$10:$AA$10</definedName>
    <definedName name="solver_lhs10" localSheetId="7" hidden="1">'Scaled, Option 1 with Prob'!$C$10:$AA$10</definedName>
    <definedName name="solver_lhs10" localSheetId="5" hidden="1">'Scaled, Option 2'!$C$10:$AA$10</definedName>
    <definedName name="solver_lhs10" localSheetId="8" hidden="1">'Scaled, Option 2 with Prob'!$C$10:$AA$10</definedName>
    <definedName name="solver_lhs10" localSheetId="6" hidden="1">'Scaled, option 3'!$C$10:$AA$10</definedName>
    <definedName name="solver_lhs10" localSheetId="9" hidden="1">'unscaled model'!$C$10:$AA$10</definedName>
    <definedName name="solver_lhs2" localSheetId="4" hidden="1">'Scaled, Option 1'!$B$51</definedName>
    <definedName name="solver_lhs2" localSheetId="7" hidden="1">'Scaled, Option 1 with Prob'!$B$51</definedName>
    <definedName name="solver_lhs2" localSheetId="5" hidden="1">'Scaled, Option 2'!$B$51</definedName>
    <definedName name="solver_lhs2" localSheetId="8" hidden="1">'Scaled, Option 2 with Prob'!$B$51</definedName>
    <definedName name="solver_lhs2" localSheetId="6" hidden="1">'Scaled, option 3'!$B$51</definedName>
    <definedName name="solver_lhs2" localSheetId="9" hidden="1">'unscaled model'!$B$51</definedName>
    <definedName name="solver_lhs3" localSheetId="4" hidden="1">'Scaled, Option 1'!$B$52</definedName>
    <definedName name="solver_lhs3" localSheetId="7" hidden="1">'Scaled, Option 1 with Prob'!$B$52</definedName>
    <definedName name="solver_lhs3" localSheetId="5" hidden="1">'Scaled, Option 2'!$B$52</definedName>
    <definedName name="solver_lhs3" localSheetId="8" hidden="1">'Scaled, Option 2 with Prob'!$B$52</definedName>
    <definedName name="solver_lhs3" localSheetId="6" hidden="1">'Scaled, option 3'!$B$52</definedName>
    <definedName name="solver_lhs3" localSheetId="9" hidden="1">'unscaled model'!$B$52</definedName>
    <definedName name="solver_lhs4" localSheetId="4" hidden="1">'Scaled, Option 1'!$B$53</definedName>
    <definedName name="solver_lhs4" localSheetId="7" hidden="1">'Scaled, Option 1 with Prob'!$B$53</definedName>
    <definedName name="solver_lhs4" localSheetId="5" hidden="1">'Scaled, Option 2'!$B$53</definedName>
    <definedName name="solver_lhs4" localSheetId="8" hidden="1">'Scaled, Option 2 with Prob'!$B$53</definedName>
    <definedName name="solver_lhs4" localSheetId="6" hidden="1">'Scaled, option 3'!$B$53</definedName>
    <definedName name="solver_lhs4" localSheetId="9" hidden="1">'unscaled model'!$B$53</definedName>
    <definedName name="solver_lhs5" localSheetId="4" hidden="1">'Scaled, Option 1'!$B$54</definedName>
    <definedName name="solver_lhs5" localSheetId="7" hidden="1">'Scaled, Option 1 with Prob'!$B$54</definedName>
    <definedName name="solver_lhs5" localSheetId="5" hidden="1">'Scaled, Option 2'!$B$54</definedName>
    <definedName name="solver_lhs5" localSheetId="8" hidden="1">'Scaled, Option 2 with Prob'!$B$54</definedName>
    <definedName name="solver_lhs5" localSheetId="6" hidden="1">'Scaled, option 3'!$B$54</definedName>
    <definedName name="solver_lhs5" localSheetId="9" hidden="1">'unscaled model'!$B$54</definedName>
    <definedName name="solver_lhs6" localSheetId="4" hidden="1">'Scaled, Option 1'!$B$55</definedName>
    <definedName name="solver_lhs6" localSheetId="7" hidden="1">'Scaled, Option 1 with Prob'!$B$55</definedName>
    <definedName name="solver_lhs6" localSheetId="5" hidden="1">'Scaled, Option 2'!$B$55</definedName>
    <definedName name="solver_lhs6" localSheetId="8" hidden="1">'Scaled, Option 2 with Prob'!$B$55</definedName>
    <definedName name="solver_lhs6" localSheetId="6" hidden="1">'Scaled, option 3'!$B$55</definedName>
    <definedName name="solver_lhs6" localSheetId="9" hidden="1">'unscaled model'!$B$55</definedName>
    <definedName name="solver_lhs7" localSheetId="4" hidden="1">'Scaled, Option 1'!$B$56</definedName>
    <definedName name="solver_lhs7" localSheetId="7" hidden="1">'Scaled, Option 1 with Prob'!$B$56</definedName>
    <definedName name="solver_lhs7" localSheetId="5" hidden="1">'Scaled, Option 2'!$B$56</definedName>
    <definedName name="solver_lhs7" localSheetId="8" hidden="1">'Scaled, Option 2 with Prob'!$B$56</definedName>
    <definedName name="solver_lhs7" localSheetId="6" hidden="1">'Scaled, option 3'!$B$56</definedName>
    <definedName name="solver_lhs7" localSheetId="9" hidden="1">'unscaled model'!$B$56</definedName>
    <definedName name="solver_lhs8" localSheetId="4" hidden="1">'Scaled, Option 1'!$B$58</definedName>
    <definedName name="solver_lhs8" localSheetId="7" hidden="1">'Scaled, Option 1 with Prob'!$B$58</definedName>
    <definedName name="solver_lhs8" localSheetId="5" hidden="1">'Scaled, Option 2'!$B$58</definedName>
    <definedName name="solver_lhs8" localSheetId="8" hidden="1">'Scaled, Option 2 with Prob'!$B$58</definedName>
    <definedName name="solver_lhs8" localSheetId="6" hidden="1">'Scaled, option 3'!$B$58</definedName>
    <definedName name="solver_lhs8" localSheetId="9" hidden="1">'unscaled model'!$B$58</definedName>
    <definedName name="solver_lhs9" localSheetId="4" hidden="1">'Scaled, Option 1'!$B$59</definedName>
    <definedName name="solver_lhs9" localSheetId="7" hidden="1">'Scaled, Option 1 with Prob'!$B$59</definedName>
    <definedName name="solver_lhs9" localSheetId="5" hidden="1">'Scaled, Option 2'!$B$59</definedName>
    <definedName name="solver_lhs9" localSheetId="8" hidden="1">'Scaled, Option 2 with Prob'!$B$59</definedName>
    <definedName name="solver_lhs9" localSheetId="6" hidden="1">'Scaled, option 3'!$B$59</definedName>
    <definedName name="solver_lhs9" localSheetId="9" hidden="1">'unscaled model'!$B$59</definedName>
    <definedName name="solver_lin" localSheetId="4" hidden="1">1</definedName>
    <definedName name="solver_lin" localSheetId="7" hidden="1">1</definedName>
    <definedName name="solver_lin" localSheetId="5" hidden="1">1</definedName>
    <definedName name="solver_lin" localSheetId="8" hidden="1">1</definedName>
    <definedName name="solver_lin" localSheetId="6" hidden="1">1</definedName>
    <definedName name="solver_lin" localSheetId="9" hidden="1">1</definedName>
    <definedName name="solver_loc" localSheetId="4" hidden="1">1</definedName>
    <definedName name="solver_loc" localSheetId="7" hidden="1">1</definedName>
    <definedName name="solver_loc" localSheetId="5" hidden="1">1</definedName>
    <definedName name="solver_loc" localSheetId="8" hidden="1">1</definedName>
    <definedName name="solver_loc" localSheetId="6" hidden="1">1</definedName>
    <definedName name="solver_lva" localSheetId="4" hidden="1">2</definedName>
    <definedName name="solver_lva" localSheetId="7" hidden="1">2</definedName>
    <definedName name="solver_lva" localSheetId="5" hidden="1">2</definedName>
    <definedName name="solver_lva" localSheetId="8" hidden="1">2</definedName>
    <definedName name="solver_lva" localSheetId="6" hidden="1">2</definedName>
    <definedName name="solver_lva" localSheetId="9" hidden="1">2</definedName>
    <definedName name="solver_mip" localSheetId="4" hidden="1">5000</definedName>
    <definedName name="solver_mip" localSheetId="7" hidden="1">5000</definedName>
    <definedName name="solver_mip" localSheetId="5" hidden="1">5000</definedName>
    <definedName name="solver_mip" localSheetId="8" hidden="1">5000</definedName>
    <definedName name="solver_mip" localSheetId="6" hidden="1">5000</definedName>
    <definedName name="solver_mip" localSheetId="9" hidden="1">1000</definedName>
    <definedName name="solver_mni" localSheetId="4" hidden="1">30</definedName>
    <definedName name="solver_mni" localSheetId="7" hidden="1">30</definedName>
    <definedName name="solver_mni" localSheetId="5" hidden="1">30</definedName>
    <definedName name="solver_mni" localSheetId="8" hidden="1">30</definedName>
    <definedName name="solver_mni" localSheetId="6" hidden="1">30</definedName>
    <definedName name="solver_mrt" localSheetId="4" hidden="1">0.075</definedName>
    <definedName name="solver_mrt" localSheetId="7" hidden="1">0.075</definedName>
    <definedName name="solver_mrt" localSheetId="5" hidden="1">0.075</definedName>
    <definedName name="solver_mrt" localSheetId="8" hidden="1">0.075</definedName>
    <definedName name="solver_mrt" localSheetId="6" hidden="1">0.075</definedName>
    <definedName name="solver_neg" localSheetId="4" hidden="1">1</definedName>
    <definedName name="solver_neg" localSheetId="7" hidden="1">1</definedName>
    <definedName name="solver_neg" localSheetId="5" hidden="1">1</definedName>
    <definedName name="solver_neg" localSheetId="8" hidden="1">1</definedName>
    <definedName name="solver_neg" localSheetId="6" hidden="1">1</definedName>
    <definedName name="solver_neg" localSheetId="9" hidden="1">1</definedName>
    <definedName name="solver_nod" localSheetId="4" hidden="1">5000</definedName>
    <definedName name="solver_nod" localSheetId="7" hidden="1">5000</definedName>
    <definedName name="solver_nod" localSheetId="5" hidden="1">5000</definedName>
    <definedName name="solver_nod" localSheetId="8" hidden="1">5000</definedName>
    <definedName name="solver_nod" localSheetId="6" hidden="1">5000</definedName>
    <definedName name="solver_nod" localSheetId="9" hidden="1">1000</definedName>
    <definedName name="solver_num" localSheetId="4" hidden="1">10</definedName>
    <definedName name="solver_num" localSheetId="7" hidden="1">10</definedName>
    <definedName name="solver_num" localSheetId="5" hidden="1">10</definedName>
    <definedName name="solver_num" localSheetId="8" hidden="1">10</definedName>
    <definedName name="solver_num" localSheetId="6" hidden="1">10</definedName>
    <definedName name="solver_num" localSheetId="9" hidden="1">10</definedName>
    <definedName name="solver_nwt" localSheetId="4" hidden="1">1</definedName>
    <definedName name="solver_nwt" localSheetId="7" hidden="1">1</definedName>
    <definedName name="solver_nwt" localSheetId="5" hidden="1">1</definedName>
    <definedName name="solver_nwt" localSheetId="8" hidden="1">1</definedName>
    <definedName name="solver_nwt" localSheetId="6" hidden="1">1</definedName>
    <definedName name="solver_nwt" localSheetId="9" hidden="1">1</definedName>
    <definedName name="solver_ofx" localSheetId="4" hidden="1">2</definedName>
    <definedName name="solver_ofx" localSheetId="7" hidden="1">2</definedName>
    <definedName name="solver_ofx" localSheetId="5" hidden="1">2</definedName>
    <definedName name="solver_ofx" localSheetId="8" hidden="1">2</definedName>
    <definedName name="solver_ofx" localSheetId="6" hidden="1">2</definedName>
    <definedName name="solver_ofx" localSheetId="9" hidden="1">2</definedName>
    <definedName name="solver_opt" localSheetId="4" hidden="1">'Scaled, Option 1'!$B$64</definedName>
    <definedName name="solver_opt" localSheetId="7" hidden="1">'Scaled, Option 1 with Prob'!$G$96</definedName>
    <definedName name="solver_opt" localSheetId="5" hidden="1">'Scaled, Option 2'!$B$64</definedName>
    <definedName name="solver_opt" localSheetId="8" hidden="1">'Scaled, Option 2 with Prob'!$G$96</definedName>
    <definedName name="solver_opt" localSheetId="6" hidden="1">'Scaled, option 3'!$F$92</definedName>
    <definedName name="solver_opt" localSheetId="9" hidden="1">'unscaled model'!$F$92</definedName>
    <definedName name="solver_piv" localSheetId="4" hidden="1">0.000001</definedName>
    <definedName name="solver_piv" localSheetId="7" hidden="1">0.000001</definedName>
    <definedName name="solver_piv" localSheetId="5" hidden="1">0.000001</definedName>
    <definedName name="solver_piv" localSheetId="8" hidden="1">0.000001</definedName>
    <definedName name="solver_piv" localSheetId="6" hidden="1">0.000001</definedName>
    <definedName name="solver_piv" localSheetId="9" hidden="1">0.000001</definedName>
    <definedName name="solver_pre" localSheetId="4" hidden="1">0.000001</definedName>
    <definedName name="solver_pre" localSheetId="7" hidden="1">0.000001</definedName>
    <definedName name="solver_pre" localSheetId="5" hidden="1">0.000001</definedName>
    <definedName name="solver_pre" localSheetId="8" hidden="1">0.000001</definedName>
    <definedName name="solver_pre" localSheetId="6" hidden="1">0.000001</definedName>
    <definedName name="solver_pre" localSheetId="9" hidden="1">0.000001</definedName>
    <definedName name="solver_pro" localSheetId="4" hidden="1">2</definedName>
    <definedName name="solver_pro" localSheetId="7" hidden="1">2</definedName>
    <definedName name="solver_pro" localSheetId="5" hidden="1">2</definedName>
    <definedName name="solver_pro" localSheetId="8" hidden="1">2</definedName>
    <definedName name="solver_pro" localSheetId="6" hidden="1">2</definedName>
    <definedName name="solver_pro" localSheetId="9" hidden="1">2</definedName>
    <definedName name="solver_rbv" localSheetId="4" hidden="1">1</definedName>
    <definedName name="solver_rbv" localSheetId="7" hidden="1">1</definedName>
    <definedName name="solver_rbv" localSheetId="5" hidden="1">1</definedName>
    <definedName name="solver_rbv" localSheetId="8" hidden="1">1</definedName>
    <definedName name="solver_rbv" localSheetId="6" hidden="1">1</definedName>
    <definedName name="solver_red" localSheetId="4" hidden="1">0.000001</definedName>
    <definedName name="solver_red" localSheetId="7" hidden="1">0.000001</definedName>
    <definedName name="solver_red" localSheetId="5" hidden="1">0.000001</definedName>
    <definedName name="solver_red" localSheetId="8" hidden="1">0.000001</definedName>
    <definedName name="solver_red" localSheetId="6" hidden="1">0.000001</definedName>
    <definedName name="solver_red" localSheetId="9" hidden="1">0.000001</definedName>
    <definedName name="solver_rel1" localSheetId="4" hidden="1">5</definedName>
    <definedName name="solver_rel1" localSheetId="7" hidden="1">5</definedName>
    <definedName name="solver_rel1" localSheetId="5" hidden="1">5</definedName>
    <definedName name="solver_rel1" localSheetId="8" hidden="1">5</definedName>
    <definedName name="solver_rel1" localSheetId="6" hidden="1">5</definedName>
    <definedName name="solver_rel1" localSheetId="9" hidden="1">5</definedName>
    <definedName name="solver_rel10" localSheetId="4" hidden="1">5</definedName>
    <definedName name="solver_rel10" localSheetId="7" hidden="1">5</definedName>
    <definedName name="solver_rel10" localSheetId="5" hidden="1">5</definedName>
    <definedName name="solver_rel10" localSheetId="8" hidden="1">5</definedName>
    <definedName name="solver_rel10" localSheetId="6" hidden="1">5</definedName>
    <definedName name="solver_rel10" localSheetId="9" hidden="1">5</definedName>
    <definedName name="solver_rel2" localSheetId="4" hidden="1">1</definedName>
    <definedName name="solver_rel2" localSheetId="7" hidden="1">1</definedName>
    <definedName name="solver_rel2" localSheetId="5" hidden="1">1</definedName>
    <definedName name="solver_rel2" localSheetId="8" hidden="1">1</definedName>
    <definedName name="solver_rel2" localSheetId="6" hidden="1">1</definedName>
    <definedName name="solver_rel2" localSheetId="9" hidden="1">1</definedName>
    <definedName name="solver_rel3" localSheetId="4" hidden="1">2</definedName>
    <definedName name="solver_rel3" localSheetId="7" hidden="1">2</definedName>
    <definedName name="solver_rel3" localSheetId="5" hidden="1">2</definedName>
    <definedName name="solver_rel3" localSheetId="8" hidden="1">2</definedName>
    <definedName name="solver_rel3" localSheetId="6" hidden="1">2</definedName>
    <definedName name="solver_rel3" localSheetId="9" hidden="1">2</definedName>
    <definedName name="solver_rel4" localSheetId="4" hidden="1">1</definedName>
    <definedName name="solver_rel4" localSheetId="7" hidden="1">1</definedName>
    <definedName name="solver_rel4" localSheetId="5" hidden="1">1</definedName>
    <definedName name="solver_rel4" localSheetId="8" hidden="1">1</definedName>
    <definedName name="solver_rel4" localSheetId="6" hidden="1">1</definedName>
    <definedName name="solver_rel4" localSheetId="9" hidden="1">1</definedName>
    <definedName name="solver_rel5" localSheetId="4" hidden="1">1</definedName>
    <definedName name="solver_rel5" localSheetId="7" hidden="1">1</definedName>
    <definedName name="solver_rel5" localSheetId="5" hidden="1">1</definedName>
    <definedName name="solver_rel5" localSheetId="8" hidden="1">1</definedName>
    <definedName name="solver_rel5" localSheetId="6" hidden="1">1</definedName>
    <definedName name="solver_rel5" localSheetId="9" hidden="1">1</definedName>
    <definedName name="solver_rel6" localSheetId="4" hidden="1">1</definedName>
    <definedName name="solver_rel6" localSheetId="7" hidden="1">1</definedName>
    <definedName name="solver_rel6" localSheetId="5" hidden="1">1</definedName>
    <definedName name="solver_rel6" localSheetId="8" hidden="1">1</definedName>
    <definedName name="solver_rel6" localSheetId="6" hidden="1">1</definedName>
    <definedName name="solver_rel6" localSheetId="9" hidden="1">1</definedName>
    <definedName name="solver_rel7" localSheetId="4" hidden="1">1</definedName>
    <definedName name="solver_rel7" localSheetId="7" hidden="1">1</definedName>
    <definedName name="solver_rel7" localSheetId="5" hidden="1">1</definedName>
    <definedName name="solver_rel7" localSheetId="8" hidden="1">1</definedName>
    <definedName name="solver_rel7" localSheetId="6" hidden="1">1</definedName>
    <definedName name="solver_rel7" localSheetId="9" hidden="1">1</definedName>
    <definedName name="solver_rel8" localSheetId="4" hidden="1">1</definedName>
    <definedName name="solver_rel8" localSheetId="7" hidden="1">1</definedName>
    <definedName name="solver_rel8" localSheetId="5" hidden="1">1</definedName>
    <definedName name="solver_rel8" localSheetId="8" hidden="1">1</definedName>
    <definedName name="solver_rel8" localSheetId="6" hidden="1">1</definedName>
    <definedName name="solver_rel8" localSheetId="9" hidden="1">1</definedName>
    <definedName name="solver_rel9" localSheetId="4" hidden="1">2</definedName>
    <definedName name="solver_rel9" localSheetId="7" hidden="1">2</definedName>
    <definedName name="solver_rel9" localSheetId="5" hidden="1">2</definedName>
    <definedName name="solver_rel9" localSheetId="8" hidden="1">2</definedName>
    <definedName name="solver_rel9" localSheetId="6" hidden="1">2</definedName>
    <definedName name="solver_rel9" localSheetId="9" hidden="1">2</definedName>
    <definedName name="solver_reo" localSheetId="4" hidden="1">2</definedName>
    <definedName name="solver_reo" localSheetId="7" hidden="1">2</definedName>
    <definedName name="solver_reo" localSheetId="5" hidden="1">2</definedName>
    <definedName name="solver_reo" localSheetId="8" hidden="1">2</definedName>
    <definedName name="solver_reo" localSheetId="6" hidden="1">2</definedName>
    <definedName name="solver_reo" localSheetId="9" hidden="1">2</definedName>
    <definedName name="solver_rep" localSheetId="4" hidden="1">2</definedName>
    <definedName name="solver_rep" localSheetId="7" hidden="1">2</definedName>
    <definedName name="solver_rep" localSheetId="5" hidden="1">2</definedName>
    <definedName name="solver_rep" localSheetId="8" hidden="1">2</definedName>
    <definedName name="solver_rep" localSheetId="6" hidden="1">2</definedName>
    <definedName name="solver_rep" localSheetId="9" hidden="1">2</definedName>
    <definedName name="solver_rhs1" localSheetId="4" hidden="1">binary</definedName>
    <definedName name="solver_rhs1" localSheetId="7" hidden="1">binary</definedName>
    <definedName name="solver_rhs1" localSheetId="5" hidden="1">binary</definedName>
    <definedName name="solver_rhs1" localSheetId="8" hidden="1">binary</definedName>
    <definedName name="solver_rhs1" localSheetId="6" hidden="1">binary</definedName>
    <definedName name="solver_rhs1" localSheetId="9" hidden="1">binary</definedName>
    <definedName name="solver_rhs10" localSheetId="4" hidden="1">binary</definedName>
    <definedName name="solver_rhs10" localSheetId="7" hidden="1">binary</definedName>
    <definedName name="solver_rhs10" localSheetId="5" hidden="1">binary</definedName>
    <definedName name="solver_rhs10" localSheetId="8" hidden="1">binary</definedName>
    <definedName name="solver_rhs10" localSheetId="6" hidden="1">binary</definedName>
    <definedName name="solver_rhs10" localSheetId="9" hidden="1">binary</definedName>
    <definedName name="solver_rhs2" localSheetId="4" hidden="1">'Scaled, Option 1'!$D$51</definedName>
    <definedName name="solver_rhs2" localSheetId="7" hidden="1">'Scaled, Option 1 with Prob'!$D$51</definedName>
    <definedName name="solver_rhs2" localSheetId="5" hidden="1">'Scaled, Option 2'!$D$51</definedName>
    <definedName name="solver_rhs2" localSheetId="8" hidden="1">'Scaled, Option 2 with Prob'!$D$51</definedName>
    <definedName name="solver_rhs2" localSheetId="6" hidden="1">'Scaled, option 3'!$D$51</definedName>
    <definedName name="solver_rhs2" localSheetId="9" hidden="1">'unscaled model'!$D$51</definedName>
    <definedName name="solver_rhs3" localSheetId="4" hidden="1">'Scaled, Option 1'!$D$52</definedName>
    <definedName name="solver_rhs3" localSheetId="7" hidden="1">'Scaled, Option 1 with Prob'!$D$52</definedName>
    <definedName name="solver_rhs3" localSheetId="5" hidden="1">'Scaled, Option 2'!$D$52</definedName>
    <definedName name="solver_rhs3" localSheetId="8" hidden="1">'Scaled, Option 2 with Prob'!$D$52</definedName>
    <definedName name="solver_rhs3" localSheetId="6" hidden="1">'Scaled, option 3'!$D$52</definedName>
    <definedName name="solver_rhs3" localSheetId="9" hidden="1">'unscaled model'!$D$52</definedName>
    <definedName name="solver_rhs4" localSheetId="4" hidden="1">0</definedName>
    <definedName name="solver_rhs4" localSheetId="7" hidden="1">0</definedName>
    <definedName name="solver_rhs4" localSheetId="5" hidden="1">0</definedName>
    <definedName name="solver_rhs4" localSheetId="8" hidden="1">0</definedName>
    <definedName name="solver_rhs4" localSheetId="6" hidden="1">0</definedName>
    <definedName name="solver_rhs4" localSheetId="9" hidden="1">0</definedName>
    <definedName name="solver_rhs5" localSheetId="4" hidden="1">'Scaled, Option 1'!$D$54</definedName>
    <definedName name="solver_rhs5" localSheetId="7" hidden="1">'Scaled, Option 1 with Prob'!$D$54</definedName>
    <definedName name="solver_rhs5" localSheetId="5" hidden="1">'Scaled, Option 2'!$D$54</definedName>
    <definedName name="solver_rhs5" localSheetId="8" hidden="1">'Scaled, Option 2 with Prob'!$D$54</definedName>
    <definedName name="solver_rhs5" localSheetId="6" hidden="1">'Scaled, option 3'!$D$54</definedName>
    <definedName name="solver_rhs5" localSheetId="9" hidden="1">'unscaled model'!$D$54</definedName>
    <definedName name="solver_rhs6" localSheetId="4" hidden="1">0</definedName>
    <definedName name="solver_rhs6" localSheetId="7" hidden="1">0</definedName>
    <definedName name="solver_rhs6" localSheetId="5" hidden="1">0</definedName>
    <definedName name="solver_rhs6" localSheetId="8" hidden="1">0</definedName>
    <definedName name="solver_rhs6" localSheetId="6" hidden="1">0</definedName>
    <definedName name="solver_rhs6" localSheetId="9" hidden="1">0</definedName>
    <definedName name="solver_rhs7" localSheetId="4" hidden="1">0</definedName>
    <definedName name="solver_rhs7" localSheetId="7" hidden="1">0</definedName>
    <definedName name="solver_rhs7" localSheetId="5" hidden="1">0</definedName>
    <definedName name="solver_rhs7" localSheetId="8" hidden="1">0</definedName>
    <definedName name="solver_rhs7" localSheetId="6" hidden="1">0</definedName>
    <definedName name="solver_rhs7" localSheetId="9" hidden="1">0</definedName>
    <definedName name="solver_rhs8" localSheetId="4" hidden="1">0</definedName>
    <definedName name="solver_rhs8" localSheetId="7" hidden="1">0</definedName>
    <definedName name="solver_rhs8" localSheetId="5" hidden="1">0</definedName>
    <definedName name="solver_rhs8" localSheetId="8" hidden="1">0</definedName>
    <definedName name="solver_rhs8" localSheetId="6" hidden="1">0</definedName>
    <definedName name="solver_rhs8" localSheetId="9" hidden="1">0</definedName>
    <definedName name="solver_rhs9" localSheetId="4" hidden="1">0</definedName>
    <definedName name="solver_rhs9" localSheetId="7" hidden="1">0</definedName>
    <definedName name="solver_rhs9" localSheetId="5" hidden="1">0</definedName>
    <definedName name="solver_rhs9" localSheetId="8" hidden="1">0</definedName>
    <definedName name="solver_rhs9" localSheetId="6" hidden="1">0</definedName>
    <definedName name="solver_rhs9" localSheetId="9" hidden="1">0</definedName>
    <definedName name="solver_rlx" localSheetId="4" hidden="1">2</definedName>
    <definedName name="solver_rlx" localSheetId="7" hidden="1">2</definedName>
    <definedName name="solver_rlx" localSheetId="5" hidden="1">2</definedName>
    <definedName name="solver_rlx" localSheetId="8" hidden="1">2</definedName>
    <definedName name="solver_rlx" localSheetId="6" hidden="1">2</definedName>
    <definedName name="solver_rlx" localSheetId="9" hidden="1">2</definedName>
    <definedName name="solver_scl" localSheetId="4" hidden="1">2</definedName>
    <definedName name="solver_scl" localSheetId="7" hidden="1">2</definedName>
    <definedName name="solver_scl" localSheetId="5" hidden="1">2</definedName>
    <definedName name="solver_scl" localSheetId="8" hidden="1">2</definedName>
    <definedName name="solver_scl" localSheetId="6" hidden="1">2</definedName>
    <definedName name="solver_scl" localSheetId="9" hidden="1">2</definedName>
    <definedName name="solver_sho" localSheetId="4" hidden="1">2</definedName>
    <definedName name="solver_sho" localSheetId="7" hidden="1">2</definedName>
    <definedName name="solver_sho" localSheetId="5" hidden="1">2</definedName>
    <definedName name="solver_sho" localSheetId="8" hidden="1">2</definedName>
    <definedName name="solver_sho" localSheetId="6" hidden="1">2</definedName>
    <definedName name="solver_sho" localSheetId="9" hidden="1">2</definedName>
    <definedName name="solver_ssz" localSheetId="4" hidden="1">100</definedName>
    <definedName name="solver_ssz" localSheetId="7" hidden="1">100</definedName>
    <definedName name="solver_ssz" localSheetId="5" hidden="1">100</definedName>
    <definedName name="solver_ssz" localSheetId="8" hidden="1">100</definedName>
    <definedName name="solver_ssz" localSheetId="6" hidden="1">100</definedName>
    <definedName name="solver_std" localSheetId="4" hidden="1">0</definedName>
    <definedName name="solver_std" localSheetId="7" hidden="1">0</definedName>
    <definedName name="solver_std" localSheetId="5" hidden="1">0</definedName>
    <definedName name="solver_std" localSheetId="8" hidden="1">0</definedName>
    <definedName name="solver_std" localSheetId="6" hidden="1">0</definedName>
    <definedName name="solver_tim" localSheetId="4" hidden="1">100</definedName>
    <definedName name="solver_tim" localSheetId="7" hidden="1">100</definedName>
    <definedName name="solver_tim" localSheetId="5" hidden="1">100</definedName>
    <definedName name="solver_tim" localSheetId="8" hidden="1">100</definedName>
    <definedName name="solver_tim" localSheetId="6" hidden="1">100</definedName>
    <definedName name="solver_tim" localSheetId="9" hidden="1">100</definedName>
    <definedName name="solver_tol" localSheetId="4" hidden="1">0.05</definedName>
    <definedName name="solver_tol" localSheetId="7" hidden="1">0.05</definedName>
    <definedName name="solver_tol" localSheetId="5" hidden="1">0.05</definedName>
    <definedName name="solver_tol" localSheetId="8" hidden="1">0.05</definedName>
    <definedName name="solver_tol" localSheetId="6" hidden="1">0.05</definedName>
    <definedName name="solver_tol" localSheetId="9" hidden="1">0.05</definedName>
    <definedName name="solver_typ" localSheetId="4" hidden="1">2</definedName>
    <definedName name="solver_typ" localSheetId="7" hidden="1">2</definedName>
    <definedName name="solver_typ" localSheetId="5" hidden="1">2</definedName>
    <definedName name="solver_typ" localSheetId="8" hidden="1">2</definedName>
    <definedName name="solver_typ" localSheetId="6" hidden="1">2</definedName>
    <definedName name="solver_typ" localSheetId="9" hidden="1">2</definedName>
    <definedName name="solver_val" localSheetId="4" hidden="1">0</definedName>
    <definedName name="solver_val" localSheetId="7" hidden="1">0</definedName>
    <definedName name="solver_val" localSheetId="5" hidden="1">0</definedName>
    <definedName name="solver_val" localSheetId="8" hidden="1">0</definedName>
    <definedName name="solver_val" localSheetId="6" hidden="1">0</definedName>
    <definedName name="solver_val" localSheetId="9" hidden="1">0</definedName>
    <definedName name="solver_ver" localSheetId="4" hidden="1">2</definedName>
    <definedName name="solver_ver" localSheetId="7" hidden="1">2</definedName>
    <definedName name="solver_ver" localSheetId="5" hidden="1">2</definedName>
    <definedName name="solver_ver" localSheetId="8" hidden="1">2</definedName>
    <definedName name="solver_ver" localSheetId="6" hidden="1">2</definedName>
    <definedName name="solver_ver" localSheetId="9" hidden="1">2</definedName>
  </definedNames>
  <calcPr fullCalcOnLoad="1"/>
</workbook>
</file>

<file path=xl/sharedStrings.xml><?xml version="1.0" encoding="utf-8"?>
<sst xmlns="http://schemas.openxmlformats.org/spreadsheetml/2006/main" count="1192" uniqueCount="247">
  <si>
    <t>Decision Variables</t>
  </si>
  <si>
    <t>Constants from engineering calcs</t>
  </si>
  <si>
    <r>
      <t>Flow - Q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(gpm):</t>
    </r>
  </si>
  <si>
    <t>Energy calcs</t>
  </si>
  <si>
    <t>Number of Pumping Systems - n:</t>
  </si>
  <si>
    <t>Constants from pump manuf. inf.</t>
  </si>
  <si>
    <t>Decision variables</t>
  </si>
  <si>
    <t>Assumed values</t>
  </si>
  <si>
    <t>Binary Decision Variables</t>
  </si>
  <si>
    <t>P1</t>
  </si>
  <si>
    <t>P2</t>
  </si>
  <si>
    <t>P3</t>
  </si>
  <si>
    <t>P4</t>
  </si>
  <si>
    <t>P5</t>
  </si>
  <si>
    <t>D1</t>
  </si>
  <si>
    <t>D2</t>
  </si>
  <si>
    <t>D3</t>
  </si>
  <si>
    <t>D4</t>
  </si>
  <si>
    <t>D5</t>
  </si>
  <si>
    <r>
      <t>D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P</t>
    </r>
    <r>
      <rPr>
        <vertAlign val="subscript"/>
        <sz val="10"/>
        <rFont val="Arial"/>
        <family val="2"/>
      </rPr>
      <t>j</t>
    </r>
  </si>
  <si>
    <r>
      <t>Pump Efficiency - η</t>
    </r>
    <r>
      <rPr>
        <vertAlign val="subscript"/>
        <sz val="10"/>
        <rFont val="Arial"/>
        <family val="2"/>
      </rPr>
      <t>p</t>
    </r>
  </si>
  <si>
    <r>
      <t>Motor Efficiency - η</t>
    </r>
    <r>
      <rPr>
        <vertAlign val="subscript"/>
        <sz val="10"/>
        <rFont val="Arial"/>
        <family val="2"/>
      </rPr>
      <t>m</t>
    </r>
  </si>
  <si>
    <r>
      <t>Max Pump Head - H at Q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2"/>
      </rPr>
      <t>(ft)</t>
    </r>
  </si>
  <si>
    <r>
      <t>System Head - H at Q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2"/>
      </rPr>
      <t>(ft)</t>
    </r>
  </si>
  <si>
    <r>
      <t>Brake hp = System Head x Q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/ 3960 x η</t>
    </r>
    <r>
      <rPr>
        <vertAlign val="subscript"/>
        <sz val="10"/>
        <rFont val="Arial"/>
        <family val="2"/>
      </rPr>
      <t>p</t>
    </r>
  </si>
  <si>
    <r>
      <t>Power Input (kW) = bhp x 0.7457/η</t>
    </r>
    <r>
      <rPr>
        <vertAlign val="subscript"/>
        <sz val="10"/>
        <rFont val="Arial"/>
        <family val="2"/>
      </rPr>
      <t>m</t>
    </r>
  </si>
  <si>
    <t>Pipe Dia - Di (in)</t>
  </si>
  <si>
    <t>Di</t>
  </si>
  <si>
    <t>Binary Decision Variable</t>
  </si>
  <si>
    <t>Capital Cost ($)</t>
  </si>
  <si>
    <t>Pump Size - Pj (hp)</t>
  </si>
  <si>
    <t>Pj</t>
  </si>
  <si>
    <r>
      <t xml:space="preserve">Motor Efficiency - </t>
    </r>
    <r>
      <rPr>
        <sz val="10"/>
        <rFont val="Arial"/>
        <family val="2"/>
      </rPr>
      <t>η</t>
    </r>
    <r>
      <rPr>
        <vertAlign val="subscript"/>
        <sz val="10"/>
        <rFont val="Arial"/>
        <family val="2"/>
      </rPr>
      <t>m</t>
    </r>
  </si>
  <si>
    <t xml:space="preserve">Power Input (kW) </t>
  </si>
  <si>
    <t>Duty Cycle (%Pump Uptime)</t>
  </si>
  <si>
    <t>Annual Operating Hours</t>
  </si>
  <si>
    <t>Annual Energy Use per Pump - Eij (kwh)</t>
  </si>
  <si>
    <t>Annual Energy Use for n Pumps - E (kwh)</t>
  </si>
  <si>
    <t>Annual Operating Cost for n Pumps ($)</t>
  </si>
  <si>
    <t>ENERGY PRICING OPTION 1</t>
  </si>
  <si>
    <t>Assume Energy Pricing (base):</t>
  </si>
  <si>
    <t>Decreasing Step  ($/kwh)</t>
  </si>
  <si>
    <t>Price Break Points (kwh)</t>
  </si>
  <si>
    <t>0 - 500000 kwh:</t>
  </si>
  <si>
    <t>C1</t>
  </si>
  <si>
    <t>500000 to 1000000 kwh:</t>
  </si>
  <si>
    <t>C2</t>
  </si>
  <si>
    <t>A</t>
  </si>
  <si>
    <t>&gt;1000000 kwh:</t>
  </si>
  <si>
    <t>C3</t>
  </si>
  <si>
    <t>B</t>
  </si>
  <si>
    <t>Energy Use Rate Variables</t>
  </si>
  <si>
    <t>Y1</t>
  </si>
  <si>
    <t>E1</t>
  </si>
  <si>
    <t>F1</t>
  </si>
  <si>
    <t>Y2</t>
  </si>
  <si>
    <t>E2</t>
  </si>
  <si>
    <t>F2</t>
  </si>
  <si>
    <t>Total</t>
  </si>
  <si>
    <t>E3</t>
  </si>
  <si>
    <t>Total E</t>
  </si>
  <si>
    <t>Constraints</t>
  </si>
  <si>
    <t>LHS</t>
  </si>
  <si>
    <t>Sign</t>
  </si>
  <si>
    <t>RHS</t>
  </si>
  <si>
    <r>
      <t>D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P</t>
    </r>
    <r>
      <rPr>
        <vertAlign val="subscript"/>
        <sz val="10"/>
        <rFont val="Arial"/>
        <family val="2"/>
      </rPr>
      <t>j</t>
    </r>
    <r>
      <rPr>
        <sz val="10"/>
        <rFont val="Arial"/>
        <family val="2"/>
      </rPr>
      <t xml:space="preserve"> Decision Variables Binary</t>
    </r>
  </si>
  <si>
    <t xml:space="preserve">= </t>
  </si>
  <si>
    <t>TDH &lt; Pump H</t>
  </si>
  <si>
    <t>&lt;=</t>
  </si>
  <si>
    <t>Select one combination of pump and pipe dia.</t>
  </si>
  <si>
    <t>=</t>
  </si>
  <si>
    <t>E1 &lt;= A</t>
  </si>
  <si>
    <t>0 &lt;= E3</t>
  </si>
  <si>
    <t>E3 &lt;= (Large #)*Y2</t>
  </si>
  <si>
    <t>Sum of the E1, E2, and E3 = Eij</t>
  </si>
  <si>
    <t>Y1 is Binary</t>
  </si>
  <si>
    <t>Y2 is Binary</t>
  </si>
  <si>
    <t>Operating Cost</t>
  </si>
  <si>
    <t>Cost = C1*E1 + C2*E2 + C3*E3 + F1*Y1 + F2*Y2</t>
  </si>
  <si>
    <t>ENERGY PRICING OPTION 2</t>
  </si>
  <si>
    <t>Assume Energy Pricing (incr. step):</t>
  </si>
  <si>
    <t>Increasing Step ($/kwh)</t>
  </si>
  <si>
    <t>ENERGY PRICING OPTION 3</t>
  </si>
  <si>
    <t>Assume energy purchased from coal fired generator at a flat rate.</t>
  </si>
  <si>
    <t>Assume flat rate energy price ($/kwh):</t>
  </si>
  <si>
    <t>D</t>
  </si>
  <si>
    <t>Assume probability of air emissions tax levied starting year:</t>
  </si>
  <si>
    <t>Event</t>
  </si>
  <si>
    <t>Probability</t>
  </si>
  <si>
    <t>Additional Costs ($/lbs C)</t>
  </si>
  <si>
    <t>Additional Costs ($/kwh)</t>
  </si>
  <si>
    <t>Total Energy Price ($/kwh)</t>
  </si>
  <si>
    <t xml:space="preserve">Probability of no tax: </t>
  </si>
  <si>
    <t xml:space="preserve">Probability of low tax: </t>
  </si>
  <si>
    <t>Probability of high tax:</t>
  </si>
  <si>
    <t>Assume emissions tax costs passed on to customer.</t>
  </si>
  <si>
    <t>Assumed air emissions (lbs C/kwh):</t>
  </si>
  <si>
    <t>Objective Function</t>
  </si>
  <si>
    <t>Cp</t>
  </si>
  <si>
    <t>Capital cost to purchase and install n pumps.</t>
  </si>
  <si>
    <t>Ci</t>
  </si>
  <si>
    <t>Capital cost to purchase and install n piping systems</t>
  </si>
  <si>
    <t>Com</t>
  </si>
  <si>
    <t>Annual Operations Cost (Energy Costs)</t>
  </si>
  <si>
    <t>t</t>
  </si>
  <si>
    <t>Design Life Cycle (years)</t>
  </si>
  <si>
    <t>Minimize System Life Cycle Costs where:</t>
  </si>
  <si>
    <t>Z = CP + CS + tCOM</t>
  </si>
  <si>
    <t>A*Y1 - E1</t>
  </si>
  <si>
    <t>(B-A)*Y2 - E2</t>
  </si>
  <si>
    <t>E2 - (B-A)*Y1</t>
  </si>
  <si>
    <t>Price Break Points (1000's kwh)</t>
  </si>
  <si>
    <t>Decreasing Step  ($/1000 kwh)</t>
  </si>
  <si>
    <t>scaled ernergy use</t>
  </si>
  <si>
    <t>TDH - Pump H &lt; 0</t>
  </si>
  <si>
    <t>E1 - A &lt;= 0</t>
  </si>
  <si>
    <t>E3 is non-negative</t>
  </si>
  <si>
    <t>Microsoft Excel 10.0 Answer Report</t>
  </si>
  <si>
    <t>Worksheet: [Group problem v7.xls]scaled model</t>
  </si>
  <si>
    <t>Report Created: 8/7/2003 4:15:13 PM</t>
  </si>
  <si>
    <t>Target Cell (Min)</t>
  </si>
  <si>
    <t>Cell</t>
  </si>
  <si>
    <t>Name</t>
  </si>
  <si>
    <t>Original Value</t>
  </si>
  <si>
    <t>Final Value</t>
  </si>
  <si>
    <t>Adjustable Cells</t>
  </si>
  <si>
    <t>Cell Value</t>
  </si>
  <si>
    <t>Formula</t>
  </si>
  <si>
    <t>Status</t>
  </si>
  <si>
    <t>Slack</t>
  </si>
  <si>
    <t>$F$92</t>
  </si>
  <si>
    <t>Z = CP + CS + tCOM Capital Cost ($)</t>
  </si>
  <si>
    <t>$C$10</t>
  </si>
  <si>
    <t>DiPj D1</t>
  </si>
  <si>
    <t>$D$10</t>
  </si>
  <si>
    <t>DiPj D2</t>
  </si>
  <si>
    <t>$E$10</t>
  </si>
  <si>
    <t>DiPj D3</t>
  </si>
  <si>
    <t>$F$10</t>
  </si>
  <si>
    <t>DiPj D4</t>
  </si>
  <si>
    <t>$G$10</t>
  </si>
  <si>
    <t>DiPj D5</t>
  </si>
  <si>
    <t>$H$10</t>
  </si>
  <si>
    <t>$I$10</t>
  </si>
  <si>
    <t>$J$10</t>
  </si>
  <si>
    <t>$K$10</t>
  </si>
  <si>
    <t>$L$10</t>
  </si>
  <si>
    <t>$M$10</t>
  </si>
  <si>
    <t>$N$10</t>
  </si>
  <si>
    <t>$O$10</t>
  </si>
  <si>
    <t>$P$10</t>
  </si>
  <si>
    <t>$Q$10</t>
  </si>
  <si>
    <t>$R$10</t>
  </si>
  <si>
    <t>$S$10</t>
  </si>
  <si>
    <t>$T$10</t>
  </si>
  <si>
    <t>$U$10</t>
  </si>
  <si>
    <t>$V$10</t>
  </si>
  <si>
    <t>$W$10</t>
  </si>
  <si>
    <t>$X$10</t>
  </si>
  <si>
    <t>$Y$10</t>
  </si>
  <si>
    <t>$Z$10</t>
  </si>
  <si>
    <t>$AA$10</t>
  </si>
  <si>
    <t>$B$43</t>
  </si>
  <si>
    <t>Y1 Decreasing Step  ($/1000 kwh)</t>
  </si>
  <si>
    <t>$B$44</t>
  </si>
  <si>
    <t>Y2 Decreasing Step  ($/1000 kwh)</t>
  </si>
  <si>
    <t>$D$43</t>
  </si>
  <si>
    <t>E1 Price Break Points (1000's kwh)</t>
  </si>
  <si>
    <t>$D$44</t>
  </si>
  <si>
    <t>E2 Price Break Points (1000's kwh)</t>
  </si>
  <si>
    <t>$D$45</t>
  </si>
  <si>
    <t>E3 Price Break Points (1000's kwh)</t>
  </si>
  <si>
    <t>$B$51</t>
  </si>
  <si>
    <t>TDH - Pump H &lt; 0 LHS</t>
  </si>
  <si>
    <t>$B$51&lt;=$D$51</t>
  </si>
  <si>
    <t>Not Binding</t>
  </si>
  <si>
    <t>$B$52</t>
  </si>
  <si>
    <t>Select one combination of pump and pipe dia. LHS</t>
  </si>
  <si>
    <t>$B$52=$D$52</t>
  </si>
  <si>
    <t>Binding</t>
  </si>
  <si>
    <t>$B$53</t>
  </si>
  <si>
    <t>A*Y1 - E1 LHS</t>
  </si>
  <si>
    <t>$B$53&lt;=0</t>
  </si>
  <si>
    <t>$B$54</t>
  </si>
  <si>
    <t>E1 - A &lt;= 0 LHS</t>
  </si>
  <si>
    <t>$B$54&lt;=$D$54</t>
  </si>
  <si>
    <t>$B$55</t>
  </si>
  <si>
    <t>(B-A)*Y2 - E2 LHS</t>
  </si>
  <si>
    <t>$B$55&lt;=0</t>
  </si>
  <si>
    <t>$B$56</t>
  </si>
  <si>
    <t>E2 - (B-A)*Y1 LHS</t>
  </si>
  <si>
    <t>$B$56&lt;=0</t>
  </si>
  <si>
    <t>$B$58</t>
  </si>
  <si>
    <t>E3 &lt;= (Large #)*Y2 LHS</t>
  </si>
  <si>
    <t>$B$58&lt;=0</t>
  </si>
  <si>
    <t>$B$59</t>
  </si>
  <si>
    <t>Sum of the E1, E2, and E3 = Eij LHS</t>
  </si>
  <si>
    <t>$B$59=0</t>
  </si>
  <si>
    <t>No New Tax</t>
  </si>
  <si>
    <t>Relatively Low Tax</t>
  </si>
  <si>
    <t>Additional Costs ($/1000 lbs C)</t>
  </si>
  <si>
    <t>Additional Costs ($/1000 kwh)</t>
  </si>
  <si>
    <t>LT</t>
  </si>
  <si>
    <t xml:space="preserve">Cost = (C1+LT)*E1 + (C2+LT)*E2 + (C3+LT)*E3 </t>
  </si>
  <si>
    <t>Cost = C1*E1 + C2*E2 + C3*E3</t>
  </si>
  <si>
    <t>Relatively High Tax</t>
  </si>
  <si>
    <t xml:space="preserve">Annual Operating Cost (No Tax) </t>
  </si>
  <si>
    <t xml:space="preserve">Annual Operating Cost (Low Tax) </t>
  </si>
  <si>
    <t xml:space="preserve">Annual Operating Cost (High Tax) </t>
  </si>
  <si>
    <t xml:space="preserve">Cost = (C1+HT)*E1 + (C2+HT)*E2 + (C3+HT)*E3 </t>
  </si>
  <si>
    <t>HT</t>
  </si>
  <si>
    <t>YBT (Years Before Tax)</t>
  </si>
  <si>
    <t>P(No Tax)*(t*AOC(nt))</t>
  </si>
  <si>
    <t xml:space="preserve">P(Low Tax)*(YBT*AOC(nt)+(t-YBT)*AOC(lt)) </t>
  </si>
  <si>
    <t>P(High Tax)*(YBT*AOC(nt)+(t-YBT)*AOC(ht))</t>
  </si>
  <si>
    <t>Expected Cost (No Tax)</t>
  </si>
  <si>
    <t>Expected Cost (Low Tax)</t>
  </si>
  <si>
    <t>Expected Cost (High Tax)</t>
  </si>
  <si>
    <t>Z = Cp + Ci + Total Expected Operating Costs</t>
  </si>
  <si>
    <t>Cost = (C1+LT)*E1 + (C2+LT)*E2 + (C3+LT)*E3 + F1*Y1 + F2*Y2</t>
  </si>
  <si>
    <t>Cost = (C1+HT)*E1 + (C2+HT)*E2 + (C3+HT)*E3 + F1*Y1 + F2*Y2</t>
  </si>
  <si>
    <t>Selection</t>
  </si>
  <si>
    <t>Life Cycle Cost</t>
  </si>
  <si>
    <t>Option 1 Results</t>
  </si>
  <si>
    <t>P1D5</t>
  </si>
  <si>
    <t>P2D4</t>
  </si>
  <si>
    <t>Energy Consumption (kwh)</t>
  </si>
  <si>
    <t>P2D3</t>
  </si>
  <si>
    <t>Life Cycle (yrs)</t>
  </si>
  <si>
    <t xml:space="preserve">Life Cycle Cost </t>
  </si>
  <si>
    <t>Pump Cost (add if not included in optimization)</t>
  </si>
  <si>
    <t>Delta</t>
  </si>
  <si>
    <t>Total System Life Cycle Cost</t>
  </si>
  <si>
    <t>Number of Systems - n</t>
  </si>
  <si>
    <t>Life Cycle - t (yrs.)</t>
  </si>
  <si>
    <t>Option 2 Results</t>
  </si>
  <si>
    <t>Delta lbs Carbon</t>
  </si>
  <si>
    <t>Optimization includes pump capital costs</t>
  </si>
  <si>
    <t>No</t>
  </si>
  <si>
    <t>Yes</t>
  </si>
  <si>
    <t>Optimization includes probability of carbon tax</t>
  </si>
  <si>
    <t>no</t>
  </si>
  <si>
    <t>yes</t>
  </si>
  <si>
    <t>Flat Rate ($0.07/kwh) Results</t>
  </si>
  <si>
    <t>Team 3 - Tammy Greenlaw, Chris Caballero, Aaron Raphel,</t>
  </si>
  <si>
    <t>Minja Penttila, Cliff Smith</t>
  </si>
  <si>
    <t>15.066J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</si>
</sst>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00"/>
    <numFmt numFmtId="168" formatCode="0.0"/>
    <numFmt numFmtId="169" formatCode="_(&quot;$&quot;* #,##0.0_);_(&quot;$&quot;* \(#,##0.0\);_(&quot;$&quot;* &quot;-&quot;??_);_(@_)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5">
    <font>
      <sz val="10"/>
      <name val="Arial"/>
      <family val="0"/>
    </font>
    <font>
      <b/>
      <u val="single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12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 horizontal="right"/>
    </xf>
    <xf numFmtId="0" fontId="0" fillId="3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5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164" fontId="0" fillId="2" borderId="4" xfId="17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 wrapText="1"/>
    </xf>
    <xf numFmtId="2" fontId="0" fillId="4" borderId="4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right" wrapText="1"/>
    </xf>
    <xf numFmtId="1" fontId="0" fillId="3" borderId="4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0" fillId="4" borderId="4" xfId="17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right" wrapText="1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right"/>
    </xf>
    <xf numFmtId="44" fontId="0" fillId="3" borderId="4" xfId="17" applyFill="1" applyBorder="1" applyAlignment="1">
      <alignment/>
    </xf>
    <xf numFmtId="0" fontId="0" fillId="0" borderId="0" xfId="0" applyAlignment="1">
      <alignment horizontal="right"/>
    </xf>
    <xf numFmtId="1" fontId="0" fillId="6" borderId="4" xfId="0" applyNumberFormat="1" applyFill="1" applyBorder="1" applyAlignment="1">
      <alignment/>
    </xf>
    <xf numFmtId="164" fontId="0" fillId="0" borderId="4" xfId="0" applyNumberForma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6" borderId="4" xfId="0" applyFill="1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 quotePrefix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166" fontId="0" fillId="3" borderId="4" xfId="15" applyNumberFormat="1" applyFont="1" applyFill="1" applyBorder="1" applyAlignment="1">
      <alignment/>
    </xf>
    <xf numFmtId="43" fontId="0" fillId="3" borderId="4" xfId="15" applyFill="1" applyBorder="1" applyAlignment="1">
      <alignment/>
    </xf>
    <xf numFmtId="43" fontId="0" fillId="4" borderId="4" xfId="0" applyNumberForma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44" fontId="0" fillId="0" borderId="0" xfId="17" applyFill="1" applyBorder="1" applyAlignment="1">
      <alignment/>
    </xf>
    <xf numFmtId="0" fontId="5" fillId="0" borderId="0" xfId="0" applyFont="1" applyFill="1" applyBorder="1" applyAlignment="1">
      <alignment horizontal="center"/>
    </xf>
    <xf numFmtId="43" fontId="0" fillId="0" borderId="0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right"/>
    </xf>
    <xf numFmtId="164" fontId="0" fillId="8" borderId="4" xfId="0" applyNumberFormat="1" applyFill="1" applyBorder="1" applyAlignment="1">
      <alignment/>
    </xf>
    <xf numFmtId="0" fontId="0" fillId="8" borderId="4" xfId="0" applyFill="1" applyBorder="1" applyAlignment="1">
      <alignment/>
    </xf>
    <xf numFmtId="0" fontId="3" fillId="0" borderId="0" xfId="0" applyFont="1" applyAlignment="1" quotePrefix="1">
      <alignment/>
    </xf>
    <xf numFmtId="164" fontId="3" fillId="8" borderId="4" xfId="17" applyNumberFormat="1" applyFont="1" applyFill="1" applyBorder="1" applyAlignment="1">
      <alignment/>
    </xf>
    <xf numFmtId="164" fontId="0" fillId="2" borderId="4" xfId="17" applyNumberFormat="1" applyFill="1" applyBorder="1" applyAlignment="1">
      <alignment horizontal="center"/>
    </xf>
    <xf numFmtId="164" fontId="0" fillId="4" borderId="4" xfId="17" applyNumberFormat="1" applyFill="1" applyBorder="1" applyAlignment="1">
      <alignment/>
    </xf>
    <xf numFmtId="44" fontId="0" fillId="3" borderId="4" xfId="17" applyFill="1" applyBorder="1" applyAlignment="1">
      <alignment/>
    </xf>
    <xf numFmtId="166" fontId="0" fillId="3" borderId="4" xfId="15" applyNumberFormat="1" applyFont="1" applyFill="1" applyBorder="1" applyAlignment="1">
      <alignment/>
    </xf>
    <xf numFmtId="43" fontId="0" fillId="3" borderId="4" xfId="15" applyFill="1" applyBorder="1" applyAlignment="1">
      <alignment/>
    </xf>
    <xf numFmtId="44" fontId="0" fillId="0" borderId="0" xfId="17" applyFill="1" applyBorder="1" applyAlignment="1">
      <alignment/>
    </xf>
    <xf numFmtId="164" fontId="0" fillId="3" borderId="4" xfId="17" applyNumberForma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9" borderId="4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10" borderId="17" xfId="0" applyFont="1" applyFill="1" applyBorder="1" applyAlignment="1">
      <alignment horizontal="left"/>
    </xf>
    <xf numFmtId="0" fontId="0" fillId="10" borderId="13" xfId="0" applyFill="1" applyBorder="1" applyAlignment="1">
      <alignment/>
    </xf>
    <xf numFmtId="0" fontId="0" fillId="10" borderId="13" xfId="0" applyFill="1" applyBorder="1" applyAlignment="1">
      <alignment horizontal="center"/>
    </xf>
    <xf numFmtId="0" fontId="0" fillId="10" borderId="14" xfId="0" applyFill="1" applyBorder="1" applyAlignment="1">
      <alignment/>
    </xf>
    <xf numFmtId="0" fontId="3" fillId="10" borderId="18" xfId="0" applyFont="1" applyFill="1" applyBorder="1" applyAlignment="1">
      <alignment horizontal="right" wrapText="1"/>
    </xf>
    <xf numFmtId="9" fontId="3" fillId="10" borderId="4" xfId="21" applyFont="1" applyFill="1" applyBorder="1" applyAlignment="1">
      <alignment/>
    </xf>
    <xf numFmtId="0" fontId="0" fillId="10" borderId="0" xfId="0" applyFill="1" applyBorder="1" applyAlignment="1">
      <alignment horizontal="center"/>
    </xf>
    <xf numFmtId="0" fontId="0" fillId="10" borderId="0" xfId="0" applyFill="1" applyBorder="1" applyAlignment="1">
      <alignment/>
    </xf>
    <xf numFmtId="0" fontId="0" fillId="10" borderId="19" xfId="0" applyFill="1" applyBorder="1" applyAlignment="1">
      <alignment/>
    </xf>
    <xf numFmtId="9" fontId="3" fillId="10" borderId="0" xfId="21" applyFont="1" applyFill="1" applyBorder="1" applyAlignment="1">
      <alignment/>
    </xf>
    <xf numFmtId="0" fontId="3" fillId="10" borderId="20" xfId="0" applyFont="1" applyFill="1" applyBorder="1" applyAlignment="1">
      <alignment horizontal="right" wrapText="1"/>
    </xf>
    <xf numFmtId="164" fontId="3" fillId="10" borderId="4" xfId="0" applyNumberFormat="1" applyFont="1" applyFill="1" applyBorder="1" applyAlignment="1">
      <alignment/>
    </xf>
    <xf numFmtId="0" fontId="0" fillId="10" borderId="15" xfId="0" applyFill="1" applyBorder="1" applyAlignment="1">
      <alignment horizontal="left"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0" fillId="10" borderId="13" xfId="0" applyFill="1" applyBorder="1" applyAlignment="1">
      <alignment horizontal="left"/>
    </xf>
    <xf numFmtId="9" fontId="3" fillId="10" borderId="4" xfId="21" applyFont="1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0" fontId="0" fillId="10" borderId="18" xfId="0" applyFont="1" applyFill="1" applyBorder="1" applyAlignment="1">
      <alignment horizontal="right"/>
    </xf>
    <xf numFmtId="44" fontId="0" fillId="10" borderId="4" xfId="17" applyFill="1" applyBorder="1" applyAlignment="1">
      <alignment horizontal="center"/>
    </xf>
    <xf numFmtId="0" fontId="0" fillId="10" borderId="18" xfId="0" applyFont="1" applyFill="1" applyBorder="1" applyAlignment="1">
      <alignment horizontal="left"/>
    </xf>
    <xf numFmtId="0" fontId="0" fillId="10" borderId="0" xfId="0" applyFont="1" applyFill="1" applyBorder="1" applyAlignment="1">
      <alignment horizontal="left"/>
    </xf>
    <xf numFmtId="0" fontId="0" fillId="10" borderId="18" xfId="0" applyFill="1" applyBorder="1" applyAlignment="1">
      <alignment horizontal="right" wrapText="1"/>
    </xf>
    <xf numFmtId="0" fontId="0" fillId="10" borderId="18" xfId="0" applyFont="1" applyFill="1" applyBorder="1" applyAlignment="1">
      <alignment horizontal="right" wrapText="1"/>
    </xf>
    <xf numFmtId="9" fontId="0" fillId="10" borderId="0" xfId="21" applyFont="1" applyFill="1" applyBorder="1" applyAlignment="1">
      <alignment horizontal="center"/>
    </xf>
    <xf numFmtId="9" fontId="3" fillId="10" borderId="13" xfId="21" applyFont="1" applyFill="1" applyBorder="1" applyAlignment="1">
      <alignment/>
    </xf>
    <xf numFmtId="2" fontId="0" fillId="7" borderId="4" xfId="0" applyNumberFormat="1" applyFill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15" xfId="0" applyFont="1" applyBorder="1" applyAlignment="1" quotePrefix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 quotePrefix="1">
      <alignment horizontal="left" vertical="top" wrapText="1"/>
    </xf>
    <xf numFmtId="0" fontId="3" fillId="0" borderId="0" xfId="0" applyFont="1" applyBorder="1" applyAlignment="1" quotePrefix="1">
      <alignment horizontal="left" vertical="top"/>
    </xf>
    <xf numFmtId="0" fontId="3" fillId="0" borderId="19" xfId="0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Border="1" applyAlignment="1" quotePrefix="1">
      <alignment horizontal="left" vertical="top"/>
    </xf>
    <xf numFmtId="0" fontId="0" fillId="0" borderId="0" xfId="0" applyFont="1" applyBorder="1" applyAlignment="1" quotePrefix="1">
      <alignment horizontal="left" vertical="top" wrapText="1"/>
    </xf>
    <xf numFmtId="0" fontId="0" fillId="0" borderId="0" xfId="0" applyFont="1" applyBorder="1" applyAlignment="1">
      <alignment/>
    </xf>
    <xf numFmtId="164" fontId="0" fillId="8" borderId="4" xfId="17" applyNumberFormat="1" applyFont="1" applyFill="1" applyBorder="1" applyAlignment="1">
      <alignment/>
    </xf>
    <xf numFmtId="44" fontId="0" fillId="10" borderId="4" xfId="17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44" fontId="0" fillId="3" borderId="21" xfId="17" applyFont="1" applyFill="1" applyBorder="1" applyAlignment="1">
      <alignment/>
    </xf>
    <xf numFmtId="0" fontId="0" fillId="3" borderId="21" xfId="0" applyFill="1" applyBorder="1" applyAlignment="1">
      <alignment horizontal="center"/>
    </xf>
    <xf numFmtId="44" fontId="0" fillId="0" borderId="0" xfId="0" applyNumberFormat="1" applyAlignment="1">
      <alignment/>
    </xf>
    <xf numFmtId="44" fontId="0" fillId="0" borderId="21" xfId="17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4" xfId="0" applyBorder="1" applyAlignment="1">
      <alignment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 wrapText="1"/>
    </xf>
    <xf numFmtId="1" fontId="0" fillId="0" borderId="4" xfId="0" applyNumberFormat="1" applyBorder="1" applyAlignment="1">
      <alignment horizontal="center"/>
    </xf>
    <xf numFmtId="164" fontId="0" fillId="0" borderId="4" xfId="17" applyNumberForma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4" xfId="17" applyNumberForma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0" fillId="0" borderId="27" xfId="15" applyNumberFormat="1" applyBorder="1" applyAlignment="1">
      <alignment horizontal="center"/>
    </xf>
    <xf numFmtId="0" fontId="0" fillId="0" borderId="28" xfId="15" applyNumberForma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64" fontId="0" fillId="0" borderId="4" xfId="17" applyNumberFormat="1" applyFont="1" applyBorder="1" applyAlignment="1">
      <alignment horizontal="center"/>
    </xf>
    <xf numFmtId="0" fontId="0" fillId="0" borderId="23" xfId="15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0" fillId="0" borderId="0" xfId="0" applyNumberFormat="1" applyAlignment="1">
      <alignment/>
    </xf>
    <xf numFmtId="0" fontId="3" fillId="0" borderId="2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30" xfId="0" applyBorder="1" applyAlignment="1">
      <alignment horizontal="center"/>
    </xf>
    <xf numFmtId="164" fontId="0" fillId="0" borderId="31" xfId="17" applyNumberFormat="1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4" fontId="0" fillId="0" borderId="31" xfId="17" applyNumberFormat="1" applyBorder="1" applyAlignment="1">
      <alignment horizontal="center"/>
    </xf>
    <xf numFmtId="0" fontId="0" fillId="0" borderId="32" xfId="15" applyNumberFormat="1" applyBorder="1" applyAlignment="1">
      <alignment horizontal="center"/>
    </xf>
    <xf numFmtId="0" fontId="0" fillId="0" borderId="0" xfId="15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0" fillId="10" borderId="4" xfId="17" applyNumberFormat="1" applyFill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0" fillId="0" borderId="23" xfId="15" applyNumberFormat="1" applyFont="1" applyBorder="1" applyAlignment="1">
      <alignment horizontal="center"/>
    </xf>
    <xf numFmtId="0" fontId="0" fillId="0" borderId="32" xfId="15" applyNumberFormat="1" applyFont="1" applyBorder="1" applyAlignment="1">
      <alignment horizontal="center"/>
    </xf>
    <xf numFmtId="1" fontId="0" fillId="0" borderId="4" xfId="17" applyNumberFormat="1" applyBorder="1" applyAlignment="1">
      <alignment horizontal="center"/>
    </xf>
    <xf numFmtId="1" fontId="0" fillId="0" borderId="31" xfId="17" applyNumberForma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4" fontId="0" fillId="0" borderId="0" xfId="17" applyNumberFormat="1" applyBorder="1" applyAlignment="1">
      <alignment horizontal="center"/>
    </xf>
    <xf numFmtId="0" fontId="0" fillId="0" borderId="0" xfId="15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Option 2 Energy Rate Structure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Unit Cost Energy Rates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'[1]Sheet1'!$E$8:$E$14</c:f>
              <c:numCache>
                <c:ptCount val="7"/>
                <c:pt idx="0">
                  <c:v>0</c:v>
                </c:pt>
                <c:pt idx="1">
                  <c:v>500000</c:v>
                </c:pt>
                <c:pt idx="2">
                  <c:v>500000</c:v>
                </c:pt>
                <c:pt idx="3">
                  <c:v>1000000</c:v>
                </c:pt>
                <c:pt idx="4">
                  <c:v>1000000</c:v>
                </c:pt>
                <c:pt idx="5">
                  <c:v>2000000</c:v>
                </c:pt>
              </c:numCache>
            </c:numRef>
          </c:xVal>
          <c:yVal>
            <c:numRef>
              <c:f>'[1]Sheet1'!$C$8:$C$14</c:f>
              <c:numCache>
                <c:ptCount val="7"/>
                <c:pt idx="0">
                  <c:v>0.12</c:v>
                </c:pt>
                <c:pt idx="1">
                  <c:v>0.12</c:v>
                </c:pt>
                <c:pt idx="2">
                  <c:v>0.1</c:v>
                </c:pt>
                <c:pt idx="3">
                  <c:v>0.1</c:v>
                </c:pt>
                <c:pt idx="4">
                  <c:v>0.07</c:v>
                </c:pt>
                <c:pt idx="5">
                  <c:v>0.07</c:v>
                </c:pt>
              </c:numCache>
            </c:numRef>
          </c:yVal>
          <c:smooth val="0"/>
        </c:ser>
        <c:axId val="42320559"/>
        <c:axId val="45340712"/>
      </c:scatterChart>
      <c:valAx>
        <c:axId val="42320559"/>
        <c:scaling>
          <c:orientation val="minMax"/>
          <c:max val="2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Annual Energy Use (kwh)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40712"/>
        <c:crosses val="autoZero"/>
        <c:crossBetween val="midCat"/>
        <c:dispUnits/>
        <c:majorUnit val="500000"/>
        <c:minorUnit val="40000"/>
      </c:valAx>
      <c:valAx>
        <c:axId val="45340712"/>
        <c:scaling>
          <c:orientation val="minMax"/>
          <c:max val="0.16"/>
          <c:min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Unit Cost ($/kwh)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205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Option 3 Energy Rate Structure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'[1]Sheet1'!$C$42:$C$47</c:f>
              <c:numCache>
                <c:ptCount val="6"/>
                <c:pt idx="0">
                  <c:v>0</c:v>
                </c:pt>
                <c:pt idx="1">
                  <c:v>500000</c:v>
                </c:pt>
                <c:pt idx="2">
                  <c:v>500000</c:v>
                </c:pt>
                <c:pt idx="3">
                  <c:v>1000000</c:v>
                </c:pt>
                <c:pt idx="4">
                  <c:v>1000000</c:v>
                </c:pt>
                <c:pt idx="5">
                  <c:v>2000000</c:v>
                </c:pt>
              </c:numCache>
            </c:numRef>
          </c:xVal>
          <c:yVal>
            <c:numRef>
              <c:f>'[1]Sheet1'!$B$42:$B$47</c:f>
              <c:numCache>
                <c:ptCount val="6"/>
                <c:pt idx="0">
                  <c:v>0.07</c:v>
                </c:pt>
                <c:pt idx="1">
                  <c:v>0.07</c:v>
                </c:pt>
                <c:pt idx="2">
                  <c:v>0.1</c:v>
                </c:pt>
                <c:pt idx="3">
                  <c:v>0.1</c:v>
                </c:pt>
                <c:pt idx="4">
                  <c:v>0.12</c:v>
                </c:pt>
                <c:pt idx="5">
                  <c:v>0.12</c:v>
                </c:pt>
              </c:numCache>
            </c:numRef>
          </c:yVal>
          <c:smooth val="0"/>
        </c:ser>
        <c:axId val="5413225"/>
        <c:axId val="48719026"/>
      </c:scatterChart>
      <c:valAx>
        <c:axId val="5413225"/>
        <c:scaling>
          <c:orientation val="minMax"/>
          <c:max val="2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Annual Energy Use (kwh)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19026"/>
        <c:crosses val="autoZero"/>
        <c:crossBetween val="midCat"/>
        <c:dispUnits/>
        <c:minorUnit val="500000"/>
      </c:valAx>
      <c:valAx>
        <c:axId val="48719026"/>
        <c:scaling>
          <c:orientation val="minMax"/>
          <c:max val="0.16"/>
          <c:min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Unit Cost ($/kwh)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3225"/>
        <c:crosses val="autoZero"/>
        <c:crossBetween val="midCat"/>
        <c:dispUnits/>
        <c:majorUnit val="0.02"/>
        <c:minorUnit val="0.00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11</xdr:row>
      <xdr:rowOff>114300</xdr:rowOff>
    </xdr:from>
    <xdr:to>
      <xdr:col>14</xdr:col>
      <xdr:colOff>371475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3228975" y="1895475"/>
        <a:ext cx="5676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37</xdr:row>
      <xdr:rowOff>152400</xdr:rowOff>
    </xdr:from>
    <xdr:to>
      <xdr:col>14</xdr:col>
      <xdr:colOff>323850</xdr:colOff>
      <xdr:row>61</xdr:row>
      <xdr:rowOff>38100</xdr:rowOff>
    </xdr:to>
    <xdr:graphicFrame>
      <xdr:nvGraphicFramePr>
        <xdr:cNvPr id="2" name="Chart 2"/>
        <xdr:cNvGraphicFramePr/>
      </xdr:nvGraphicFramePr>
      <xdr:xfrm>
        <a:off x="3295650" y="6143625"/>
        <a:ext cx="55626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23</xdr:row>
      <xdr:rowOff>28575</xdr:rowOff>
    </xdr:from>
    <xdr:to>
      <xdr:col>8</xdr:col>
      <xdr:colOff>180975</xdr:colOff>
      <xdr:row>23</xdr:row>
      <xdr:rowOff>28575</xdr:rowOff>
    </xdr:to>
    <xdr:sp>
      <xdr:nvSpPr>
        <xdr:cNvPr id="3" name="Line 3"/>
        <xdr:cNvSpPr>
          <a:spLocks/>
        </xdr:cNvSpPr>
      </xdr:nvSpPr>
      <xdr:spPr>
        <a:xfrm flipH="1">
          <a:off x="3943350" y="3752850"/>
          <a:ext cx="111442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27</xdr:row>
      <xdr:rowOff>19050</xdr:rowOff>
    </xdr:from>
    <xdr:to>
      <xdr:col>10</xdr:col>
      <xdr:colOff>38100</xdr:colOff>
      <xdr:row>27</xdr:row>
      <xdr:rowOff>19050</xdr:rowOff>
    </xdr:to>
    <xdr:sp>
      <xdr:nvSpPr>
        <xdr:cNvPr id="4" name="Line 5"/>
        <xdr:cNvSpPr>
          <a:spLocks/>
        </xdr:cNvSpPr>
      </xdr:nvSpPr>
      <xdr:spPr>
        <a:xfrm flipH="1">
          <a:off x="3914775" y="4391025"/>
          <a:ext cx="221932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66675</xdr:rowOff>
    </xdr:from>
    <xdr:to>
      <xdr:col>6</xdr:col>
      <xdr:colOff>114300</xdr:colOff>
      <xdr:row>82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4592300"/>
          <a:ext cx="5476875" cy="410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NOT USED THIS OPTION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64</xdr:row>
      <xdr:rowOff>133350</xdr:rowOff>
    </xdr:from>
    <xdr:to>
      <xdr:col>6</xdr:col>
      <xdr:colOff>180975</xdr:colOff>
      <xdr:row>82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14697075"/>
          <a:ext cx="5629275" cy="3629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NOT USED THIS OPTION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gram%20Files\Eudora\Attach\Table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C8">
            <v>0.12</v>
          </cell>
          <cell r="E8">
            <v>0</v>
          </cell>
        </row>
        <row r="9">
          <cell r="C9">
            <v>0.12</v>
          </cell>
          <cell r="E9">
            <v>500000</v>
          </cell>
        </row>
        <row r="10">
          <cell r="C10">
            <v>0.1</v>
          </cell>
          <cell r="E10">
            <v>500000</v>
          </cell>
        </row>
        <row r="11">
          <cell r="C11">
            <v>0.1</v>
          </cell>
          <cell r="E11">
            <v>1000000</v>
          </cell>
        </row>
        <row r="12">
          <cell r="C12">
            <v>0.07</v>
          </cell>
          <cell r="E12">
            <v>1000000</v>
          </cell>
        </row>
        <row r="13">
          <cell r="C13">
            <v>0.07</v>
          </cell>
          <cell r="E13">
            <v>2000000</v>
          </cell>
        </row>
        <row r="42">
          <cell r="B42">
            <v>0.07</v>
          </cell>
          <cell r="C42">
            <v>0</v>
          </cell>
        </row>
        <row r="43">
          <cell r="B43">
            <v>0.07</v>
          </cell>
          <cell r="C43">
            <v>500000</v>
          </cell>
        </row>
        <row r="44">
          <cell r="B44">
            <v>0.1</v>
          </cell>
          <cell r="C44">
            <v>500000</v>
          </cell>
        </row>
        <row r="45">
          <cell r="B45">
            <v>0.1</v>
          </cell>
          <cell r="C45">
            <v>1000000</v>
          </cell>
        </row>
        <row r="46">
          <cell r="B46">
            <v>0.12</v>
          </cell>
          <cell r="C46">
            <v>1000000</v>
          </cell>
        </row>
        <row r="47">
          <cell r="B47">
            <v>0.12</v>
          </cell>
          <cell r="C47">
            <v>2000000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C10"/>
  <sheetViews>
    <sheetView tabSelected="1" workbookViewId="0" topLeftCell="A1">
      <selection activeCell="A3" sqref="A3"/>
    </sheetView>
  </sheetViews>
  <sheetFormatPr defaultColWidth="9.140625" defaultRowHeight="12.75"/>
  <sheetData>
    <row r="6" ht="11.25" customHeight="1">
      <c r="C6" s="208"/>
    </row>
    <row r="7" ht="15.75">
      <c r="C7" s="208" t="s">
        <v>246</v>
      </c>
    </row>
    <row r="9" ht="15.75">
      <c r="C9" s="208" t="s">
        <v>244</v>
      </c>
    </row>
    <row r="10" ht="15.75">
      <c r="C10" s="208" t="s">
        <v>245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93"/>
  <sheetViews>
    <sheetView workbookViewId="0" topLeftCell="A62">
      <selection activeCell="B5" sqref="B5"/>
    </sheetView>
  </sheetViews>
  <sheetFormatPr defaultColWidth="9.140625" defaultRowHeight="12.75"/>
  <cols>
    <col min="1" max="1" width="28.00390625" style="0" customWidth="1"/>
    <col min="6" max="6" width="18.140625" style="0" customWidth="1"/>
  </cols>
  <sheetData>
    <row r="1" ht="13.5" thickBot="1">
      <c r="A1" s="1"/>
    </row>
    <row r="2" spans="1:12" ht="12.75">
      <c r="A2" s="2" t="s">
        <v>0</v>
      </c>
      <c r="C2" s="2"/>
      <c r="I2" s="3"/>
      <c r="J2" s="4" t="s">
        <v>1</v>
      </c>
      <c r="K2" s="4"/>
      <c r="L2" s="5"/>
    </row>
    <row r="3" spans="1:12" ht="15.75">
      <c r="A3" s="6" t="s">
        <v>2</v>
      </c>
      <c r="B3" s="7">
        <v>750</v>
      </c>
      <c r="I3" s="8"/>
      <c r="J3" s="9" t="s">
        <v>3</v>
      </c>
      <c r="K3" s="9"/>
      <c r="L3" s="10"/>
    </row>
    <row r="4" spans="1:12" ht="12.75">
      <c r="A4" s="6" t="s">
        <v>4</v>
      </c>
      <c r="B4" s="7">
        <v>3</v>
      </c>
      <c r="I4" s="11"/>
      <c r="J4" s="9" t="s">
        <v>5</v>
      </c>
      <c r="K4" s="9"/>
      <c r="L4" s="10"/>
    </row>
    <row r="5" spans="1:12" ht="12.75">
      <c r="A5" s="1"/>
      <c r="I5" s="12"/>
      <c r="J5" s="9" t="s">
        <v>6</v>
      </c>
      <c r="K5" s="9"/>
      <c r="L5" s="10"/>
    </row>
    <row r="6" spans="1:12" ht="13.5" thickBot="1">
      <c r="A6" s="6"/>
      <c r="B6" s="13"/>
      <c r="I6" s="14"/>
      <c r="J6" s="15" t="s">
        <v>7</v>
      </c>
      <c r="K6" s="15"/>
      <c r="L6" s="16"/>
    </row>
    <row r="7" ht="12.75">
      <c r="A7" s="6"/>
    </row>
    <row r="8" spans="1:27" ht="12.75">
      <c r="A8" s="6"/>
      <c r="B8" s="207" t="s">
        <v>8</v>
      </c>
      <c r="C8" s="17" t="s">
        <v>9</v>
      </c>
      <c r="D8" s="17" t="s">
        <v>9</v>
      </c>
      <c r="E8" s="17" t="s">
        <v>9</v>
      </c>
      <c r="F8" s="17" t="s">
        <v>9</v>
      </c>
      <c r="G8" s="17" t="s">
        <v>9</v>
      </c>
      <c r="H8" s="17" t="s">
        <v>10</v>
      </c>
      <c r="I8" s="17" t="s">
        <v>10</v>
      </c>
      <c r="J8" s="17" t="s">
        <v>10</v>
      </c>
      <c r="K8" s="17" t="s">
        <v>10</v>
      </c>
      <c r="L8" s="17" t="s">
        <v>10</v>
      </c>
      <c r="M8" s="17" t="s">
        <v>11</v>
      </c>
      <c r="N8" s="17" t="s">
        <v>11</v>
      </c>
      <c r="O8" s="17" t="s">
        <v>11</v>
      </c>
      <c r="P8" s="17" t="s">
        <v>11</v>
      </c>
      <c r="Q8" s="17" t="s">
        <v>11</v>
      </c>
      <c r="R8" s="17" t="s">
        <v>12</v>
      </c>
      <c r="S8" s="17" t="s">
        <v>12</v>
      </c>
      <c r="T8" s="17" t="s">
        <v>12</v>
      </c>
      <c r="U8" s="17" t="s">
        <v>12</v>
      </c>
      <c r="V8" s="17" t="s">
        <v>12</v>
      </c>
      <c r="W8" s="17" t="s">
        <v>13</v>
      </c>
      <c r="X8" s="17" t="s">
        <v>13</v>
      </c>
      <c r="Y8" s="17" t="s">
        <v>13</v>
      </c>
      <c r="Z8" s="17" t="s">
        <v>13</v>
      </c>
      <c r="AA8" s="17" t="s">
        <v>13</v>
      </c>
    </row>
    <row r="9" spans="1:27" ht="12.75">
      <c r="A9" s="6"/>
      <c r="B9" s="207"/>
      <c r="C9" s="17" t="s">
        <v>14</v>
      </c>
      <c r="D9" s="17" t="s">
        <v>15</v>
      </c>
      <c r="E9" s="17" t="s">
        <v>16</v>
      </c>
      <c r="F9" s="17" t="s">
        <v>17</v>
      </c>
      <c r="G9" s="17" t="s">
        <v>18</v>
      </c>
      <c r="H9" s="17" t="s">
        <v>14</v>
      </c>
      <c r="I9" s="17" t="s">
        <v>15</v>
      </c>
      <c r="J9" s="17" t="s">
        <v>16</v>
      </c>
      <c r="K9" s="17" t="s">
        <v>17</v>
      </c>
      <c r="L9" s="17" t="s">
        <v>18</v>
      </c>
      <c r="M9" s="17" t="s">
        <v>14</v>
      </c>
      <c r="N9" s="17" t="s">
        <v>15</v>
      </c>
      <c r="O9" s="17" t="s">
        <v>16</v>
      </c>
      <c r="P9" s="17" t="s">
        <v>17</v>
      </c>
      <c r="Q9" s="17" t="s">
        <v>18</v>
      </c>
      <c r="R9" s="17" t="s">
        <v>14</v>
      </c>
      <c r="S9" s="17" t="s">
        <v>15</v>
      </c>
      <c r="T9" s="17" t="s">
        <v>16</v>
      </c>
      <c r="U9" s="17" t="s">
        <v>17</v>
      </c>
      <c r="V9" s="17" t="s">
        <v>18</v>
      </c>
      <c r="W9" s="17" t="s">
        <v>14</v>
      </c>
      <c r="X9" s="17" t="s">
        <v>15</v>
      </c>
      <c r="Y9" s="17" t="s">
        <v>16</v>
      </c>
      <c r="Z9" s="17" t="s">
        <v>17</v>
      </c>
      <c r="AA9" s="17" t="s">
        <v>18</v>
      </c>
    </row>
    <row r="10" spans="1:27" ht="15.75">
      <c r="A10" s="6"/>
      <c r="B10" s="18" t="s">
        <v>19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1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</row>
    <row r="11" spans="1:27" ht="15.75">
      <c r="A11" s="6"/>
      <c r="B11" s="18" t="s">
        <v>20</v>
      </c>
      <c r="C11" s="20">
        <v>0.7</v>
      </c>
      <c r="D11" s="20">
        <v>0.7</v>
      </c>
      <c r="E11" s="20">
        <v>0.7</v>
      </c>
      <c r="F11" s="20">
        <v>0.7</v>
      </c>
      <c r="G11" s="20">
        <v>0.3</v>
      </c>
      <c r="H11" s="20">
        <v>0.7</v>
      </c>
      <c r="I11" s="20">
        <v>0.7</v>
      </c>
      <c r="J11" s="20">
        <v>0.7</v>
      </c>
      <c r="K11" s="20">
        <v>0.7</v>
      </c>
      <c r="L11" s="20">
        <v>0.7</v>
      </c>
      <c r="M11" s="20">
        <v>0.7</v>
      </c>
      <c r="N11" s="20">
        <v>0.7</v>
      </c>
      <c r="O11" s="20">
        <v>0.7</v>
      </c>
      <c r="P11" s="20">
        <v>0.7</v>
      </c>
      <c r="Q11" s="20">
        <v>0.7</v>
      </c>
      <c r="R11" s="20">
        <v>0.7</v>
      </c>
      <c r="S11" s="20">
        <v>0.7</v>
      </c>
      <c r="T11" s="20">
        <v>0.7</v>
      </c>
      <c r="U11" s="20">
        <v>0.7</v>
      </c>
      <c r="V11" s="20">
        <v>0.7</v>
      </c>
      <c r="W11" s="20">
        <v>0.7</v>
      </c>
      <c r="X11" s="20">
        <v>0.7</v>
      </c>
      <c r="Y11" s="20">
        <v>0.7</v>
      </c>
      <c r="Z11" s="20">
        <v>0.7</v>
      </c>
      <c r="AA11" s="20">
        <v>0.3</v>
      </c>
    </row>
    <row r="12" spans="1:27" ht="15.75">
      <c r="A12" s="6"/>
      <c r="B12" s="18" t="s">
        <v>21</v>
      </c>
      <c r="C12" s="21">
        <f>M20</f>
        <v>0.7</v>
      </c>
      <c r="D12" s="21">
        <f>C12</f>
        <v>0.7</v>
      </c>
      <c r="E12" s="21">
        <f>D12</f>
        <v>0.7</v>
      </c>
      <c r="F12" s="21">
        <f>E12</f>
        <v>0.7</v>
      </c>
      <c r="G12" s="21">
        <f>F12</f>
        <v>0.7</v>
      </c>
      <c r="H12" s="21">
        <f>M21</f>
        <v>0.7</v>
      </c>
      <c r="I12" s="21">
        <f>H12</f>
        <v>0.7</v>
      </c>
      <c r="J12" s="21">
        <f>I12</f>
        <v>0.7</v>
      </c>
      <c r="K12" s="21">
        <f>J12</f>
        <v>0.7</v>
      </c>
      <c r="L12" s="21">
        <f>K12</f>
        <v>0.7</v>
      </c>
      <c r="M12" s="21">
        <f>M22</f>
        <v>0.7</v>
      </c>
      <c r="N12" s="21">
        <f>M12</f>
        <v>0.7</v>
      </c>
      <c r="O12" s="21">
        <f>N12</f>
        <v>0.7</v>
      </c>
      <c r="P12" s="21">
        <f>O12</f>
        <v>0.7</v>
      </c>
      <c r="Q12" s="21">
        <f>P12</f>
        <v>0.7</v>
      </c>
      <c r="R12" s="21">
        <f>M23</f>
        <v>0.7</v>
      </c>
      <c r="S12" s="21">
        <f>R12</f>
        <v>0.7</v>
      </c>
      <c r="T12" s="21">
        <f>S12</f>
        <v>0.7</v>
      </c>
      <c r="U12" s="21">
        <f>T12</f>
        <v>0.7</v>
      </c>
      <c r="V12" s="21">
        <f>U12</f>
        <v>0.7</v>
      </c>
      <c r="W12" s="21">
        <f>M24</f>
        <v>0.7</v>
      </c>
      <c r="X12" s="21">
        <f aca="true" t="shared" si="0" ref="X12:AA13">W12</f>
        <v>0.7</v>
      </c>
      <c r="Y12" s="21">
        <f t="shared" si="0"/>
        <v>0.7</v>
      </c>
      <c r="Z12" s="21">
        <f t="shared" si="0"/>
        <v>0.7</v>
      </c>
      <c r="AA12" s="21">
        <f t="shared" si="0"/>
        <v>0.7</v>
      </c>
    </row>
    <row r="13" spans="1:27" ht="54">
      <c r="A13" s="6"/>
      <c r="B13" s="22" t="s">
        <v>22</v>
      </c>
      <c r="C13" s="21">
        <f>$K$20</f>
        <v>20</v>
      </c>
      <c r="D13" s="21">
        <f>$K$20</f>
        <v>20</v>
      </c>
      <c r="E13" s="21">
        <f>$K$20</f>
        <v>20</v>
      </c>
      <c r="F13" s="21">
        <f>$K$20</f>
        <v>20</v>
      </c>
      <c r="G13" s="21">
        <f>$K$20</f>
        <v>20</v>
      </c>
      <c r="H13" s="21">
        <f>$K$21</f>
        <v>40</v>
      </c>
      <c r="I13" s="21">
        <f>$K$21</f>
        <v>40</v>
      </c>
      <c r="J13" s="21">
        <f>$K$21</f>
        <v>40</v>
      </c>
      <c r="K13" s="21">
        <f>$K$21</f>
        <v>40</v>
      </c>
      <c r="L13" s="21">
        <f>$K$21</f>
        <v>40</v>
      </c>
      <c r="M13" s="21">
        <f>$K$22</f>
        <v>55</v>
      </c>
      <c r="N13" s="21">
        <f>$K$22</f>
        <v>55</v>
      </c>
      <c r="O13" s="21">
        <f>$K$22</f>
        <v>55</v>
      </c>
      <c r="P13" s="21">
        <f>$K$22</f>
        <v>55</v>
      </c>
      <c r="Q13" s="21">
        <f>$K$22</f>
        <v>55</v>
      </c>
      <c r="R13" s="21">
        <f>$K$23</f>
        <v>80</v>
      </c>
      <c r="S13" s="21">
        <f>$K$23</f>
        <v>80</v>
      </c>
      <c r="T13" s="21">
        <f>$K$23</f>
        <v>80</v>
      </c>
      <c r="U13" s="21">
        <f>$K$23</f>
        <v>80</v>
      </c>
      <c r="V13" s="21">
        <f>$K$23</f>
        <v>80</v>
      </c>
      <c r="W13" s="21">
        <f>K24</f>
        <v>100</v>
      </c>
      <c r="X13" s="21">
        <f t="shared" si="0"/>
        <v>100</v>
      </c>
      <c r="Y13" s="21">
        <f t="shared" si="0"/>
        <v>100</v>
      </c>
      <c r="Z13" s="21">
        <f t="shared" si="0"/>
        <v>100</v>
      </c>
      <c r="AA13" s="21">
        <f t="shared" si="0"/>
        <v>100</v>
      </c>
    </row>
    <row r="14" spans="1:27" ht="41.25">
      <c r="A14" s="6"/>
      <c r="B14" s="22" t="s">
        <v>23</v>
      </c>
      <c r="C14" s="23">
        <f>$E$20</f>
        <v>356</v>
      </c>
      <c r="D14" s="23">
        <f>$E$21</f>
        <v>90</v>
      </c>
      <c r="E14" s="23">
        <f>$E$22</f>
        <v>53</v>
      </c>
      <c r="F14" s="23">
        <f>$E$23</f>
        <v>44</v>
      </c>
      <c r="G14" s="23">
        <f>$E$24</f>
        <v>41</v>
      </c>
      <c r="H14" s="23">
        <f>$E$20</f>
        <v>356</v>
      </c>
      <c r="I14" s="23">
        <f>$E$21</f>
        <v>90</v>
      </c>
      <c r="J14" s="23">
        <f>$E$22</f>
        <v>53</v>
      </c>
      <c r="K14" s="23">
        <f>$E$23</f>
        <v>44</v>
      </c>
      <c r="L14" s="23">
        <f>$E$24</f>
        <v>41</v>
      </c>
      <c r="M14" s="23">
        <f>$E$20</f>
        <v>356</v>
      </c>
      <c r="N14" s="23">
        <f>$E$21</f>
        <v>90</v>
      </c>
      <c r="O14" s="23">
        <f>$E$22</f>
        <v>53</v>
      </c>
      <c r="P14" s="23">
        <f>$E$23</f>
        <v>44</v>
      </c>
      <c r="Q14" s="23">
        <f>$E$24</f>
        <v>41</v>
      </c>
      <c r="R14" s="23">
        <f>$E$20</f>
        <v>356</v>
      </c>
      <c r="S14" s="23">
        <f>$E$21</f>
        <v>90</v>
      </c>
      <c r="T14" s="23">
        <f>$E$22</f>
        <v>53</v>
      </c>
      <c r="U14" s="23">
        <f>$E$23</f>
        <v>44</v>
      </c>
      <c r="V14" s="23">
        <f>$E$24</f>
        <v>41</v>
      </c>
      <c r="W14" s="23">
        <f>$E$20</f>
        <v>356</v>
      </c>
      <c r="X14" s="23">
        <f>$E$21</f>
        <v>90</v>
      </c>
      <c r="Y14" s="23">
        <f>$E$22</f>
        <v>53</v>
      </c>
      <c r="Z14" s="23">
        <f>$E$23</f>
        <v>44</v>
      </c>
      <c r="AA14" s="23">
        <f>$E$24</f>
        <v>41</v>
      </c>
    </row>
    <row r="15" spans="1:27" ht="69.75">
      <c r="A15" s="6"/>
      <c r="B15" s="22" t="s">
        <v>24</v>
      </c>
      <c r="C15" s="24">
        <f aca="true" t="shared" si="1" ref="C15:AA15">(C14*$B$3)/(33000*C11)*8.34</f>
        <v>96.39740259740259</v>
      </c>
      <c r="D15" s="24">
        <f t="shared" si="1"/>
        <v>24.370129870129873</v>
      </c>
      <c r="E15" s="24">
        <f t="shared" si="1"/>
        <v>14.3512987012987</v>
      </c>
      <c r="F15" s="24">
        <f t="shared" si="1"/>
        <v>11.914285714285715</v>
      </c>
      <c r="G15" s="24">
        <f t="shared" si="1"/>
        <v>25.904545454545453</v>
      </c>
      <c r="H15" s="24">
        <f t="shared" si="1"/>
        <v>96.39740259740259</v>
      </c>
      <c r="I15" s="24">
        <f t="shared" si="1"/>
        <v>24.370129870129873</v>
      </c>
      <c r="J15" s="24">
        <f t="shared" si="1"/>
        <v>14.3512987012987</v>
      </c>
      <c r="K15" s="24">
        <f t="shared" si="1"/>
        <v>11.914285714285715</v>
      </c>
      <c r="L15" s="24">
        <f t="shared" si="1"/>
        <v>11.101948051948051</v>
      </c>
      <c r="M15" s="24">
        <f t="shared" si="1"/>
        <v>96.39740259740259</v>
      </c>
      <c r="N15" s="24">
        <f t="shared" si="1"/>
        <v>24.370129870129873</v>
      </c>
      <c r="O15" s="24">
        <f t="shared" si="1"/>
        <v>14.3512987012987</v>
      </c>
      <c r="P15" s="24">
        <f t="shared" si="1"/>
        <v>11.914285714285715</v>
      </c>
      <c r="Q15" s="24">
        <f t="shared" si="1"/>
        <v>11.101948051948051</v>
      </c>
      <c r="R15" s="24">
        <f t="shared" si="1"/>
        <v>96.39740259740259</v>
      </c>
      <c r="S15" s="24">
        <f t="shared" si="1"/>
        <v>24.370129870129873</v>
      </c>
      <c r="T15" s="24">
        <f t="shared" si="1"/>
        <v>14.3512987012987</v>
      </c>
      <c r="U15" s="24">
        <f t="shared" si="1"/>
        <v>11.914285714285715</v>
      </c>
      <c r="V15" s="24">
        <f t="shared" si="1"/>
        <v>11.101948051948051</v>
      </c>
      <c r="W15" s="24">
        <f t="shared" si="1"/>
        <v>96.39740259740259</v>
      </c>
      <c r="X15" s="24">
        <f t="shared" si="1"/>
        <v>24.370129870129873</v>
      </c>
      <c r="Y15" s="24">
        <f t="shared" si="1"/>
        <v>14.3512987012987</v>
      </c>
      <c r="Z15" s="24">
        <f t="shared" si="1"/>
        <v>11.914285714285715</v>
      </c>
      <c r="AA15" s="24">
        <f t="shared" si="1"/>
        <v>25.904545454545453</v>
      </c>
    </row>
    <row r="16" spans="1:27" ht="79.5">
      <c r="A16" s="6"/>
      <c r="B16" s="22" t="s">
        <v>25</v>
      </c>
      <c r="C16" s="24">
        <f aca="true" t="shared" si="2" ref="C16:AA16">C15*0.7457/C12</f>
        <v>102.6907758812616</v>
      </c>
      <c r="D16" s="24">
        <f t="shared" si="2"/>
        <v>25.961151205936925</v>
      </c>
      <c r="E16" s="24">
        <f t="shared" si="2"/>
        <v>15.288233487940632</v>
      </c>
      <c r="F16" s="24">
        <f t="shared" si="2"/>
        <v>12.692118367346941</v>
      </c>
      <c r="G16" s="24">
        <f t="shared" si="2"/>
        <v>27.59574220779221</v>
      </c>
      <c r="H16" s="24">
        <f t="shared" si="2"/>
        <v>102.6907758812616</v>
      </c>
      <c r="I16" s="24">
        <f t="shared" si="2"/>
        <v>25.961151205936925</v>
      </c>
      <c r="J16" s="24">
        <f t="shared" si="2"/>
        <v>15.288233487940632</v>
      </c>
      <c r="K16" s="24">
        <f t="shared" si="2"/>
        <v>12.692118367346941</v>
      </c>
      <c r="L16" s="24">
        <f t="shared" si="2"/>
        <v>11.826746660482375</v>
      </c>
      <c r="M16" s="24">
        <f t="shared" si="2"/>
        <v>102.6907758812616</v>
      </c>
      <c r="N16" s="24">
        <f t="shared" si="2"/>
        <v>25.961151205936925</v>
      </c>
      <c r="O16" s="24">
        <f t="shared" si="2"/>
        <v>15.288233487940632</v>
      </c>
      <c r="P16" s="24">
        <f t="shared" si="2"/>
        <v>12.692118367346941</v>
      </c>
      <c r="Q16" s="24">
        <f t="shared" si="2"/>
        <v>11.826746660482375</v>
      </c>
      <c r="R16" s="24">
        <f t="shared" si="2"/>
        <v>102.6907758812616</v>
      </c>
      <c r="S16" s="24">
        <f t="shared" si="2"/>
        <v>25.961151205936925</v>
      </c>
      <c r="T16" s="24">
        <f t="shared" si="2"/>
        <v>15.288233487940632</v>
      </c>
      <c r="U16" s="24">
        <f t="shared" si="2"/>
        <v>12.692118367346941</v>
      </c>
      <c r="V16" s="24">
        <f t="shared" si="2"/>
        <v>11.826746660482375</v>
      </c>
      <c r="W16" s="24">
        <f t="shared" si="2"/>
        <v>102.6907758812616</v>
      </c>
      <c r="X16" s="24">
        <f t="shared" si="2"/>
        <v>25.961151205936925</v>
      </c>
      <c r="Y16" s="24">
        <f t="shared" si="2"/>
        <v>15.288233487940632</v>
      </c>
      <c r="Z16" s="24">
        <f t="shared" si="2"/>
        <v>12.692118367346941</v>
      </c>
      <c r="AA16" s="24">
        <f t="shared" si="2"/>
        <v>27.59574220779221</v>
      </c>
    </row>
    <row r="17" spans="1:27" ht="12.7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2.75">
      <c r="A18" s="25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54">
      <c r="A19" s="25"/>
      <c r="B19" s="22" t="s">
        <v>26</v>
      </c>
      <c r="C19" s="28" t="s">
        <v>27</v>
      </c>
      <c r="D19" s="29" t="s">
        <v>28</v>
      </c>
      <c r="E19" s="29" t="s">
        <v>23</v>
      </c>
      <c r="F19" s="28" t="s">
        <v>29</v>
      </c>
      <c r="H19" s="22" t="s">
        <v>30</v>
      </c>
      <c r="I19" s="28" t="s">
        <v>31</v>
      </c>
      <c r="J19" s="29" t="s">
        <v>28</v>
      </c>
      <c r="K19" s="29" t="s">
        <v>22</v>
      </c>
      <c r="L19" s="29" t="s">
        <v>29</v>
      </c>
      <c r="M19" s="29" t="s">
        <v>32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2.75">
      <c r="A20" s="25"/>
      <c r="B20" s="18">
        <v>4</v>
      </c>
      <c r="C20" s="28" t="s">
        <v>14</v>
      </c>
      <c r="D20" s="30">
        <f>C10+H10+M10+R10+W10</f>
        <v>0</v>
      </c>
      <c r="E20" s="23">
        <v>356</v>
      </c>
      <c r="F20" s="31">
        <f>500*18</f>
        <v>9000</v>
      </c>
      <c r="G20" s="32"/>
      <c r="H20" s="18">
        <v>12.5</v>
      </c>
      <c r="I20" s="28" t="s">
        <v>9</v>
      </c>
      <c r="J20" s="30">
        <f>SUM(C10:G10)</f>
        <v>0</v>
      </c>
      <c r="K20" s="21">
        <v>20</v>
      </c>
      <c r="L20" s="31">
        <v>5000</v>
      </c>
      <c r="M20" s="21">
        <v>0.7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2.75">
      <c r="A21" s="25"/>
      <c r="B21" s="18">
        <v>6</v>
      </c>
      <c r="C21" s="28" t="s">
        <v>15</v>
      </c>
      <c r="D21" s="30">
        <f>D10+I10+N10+S10+X10</f>
        <v>0</v>
      </c>
      <c r="E21" s="23">
        <v>90</v>
      </c>
      <c r="F21" s="31">
        <f>500*23</f>
        <v>11500</v>
      </c>
      <c r="G21" s="32"/>
      <c r="H21" s="18">
        <v>15</v>
      </c>
      <c r="I21" s="28" t="s">
        <v>10</v>
      </c>
      <c r="J21" s="30">
        <f>SUM(H10:L10)</f>
        <v>0</v>
      </c>
      <c r="K21" s="21">
        <v>40</v>
      </c>
      <c r="L21" s="31">
        <v>10000</v>
      </c>
      <c r="M21" s="21">
        <v>0.7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2.75">
      <c r="A22" s="25"/>
      <c r="B22" s="18">
        <v>8</v>
      </c>
      <c r="C22" s="28" t="s">
        <v>16</v>
      </c>
      <c r="D22" s="30">
        <f>E10+J10+O10+T10+Y10</f>
        <v>0</v>
      </c>
      <c r="E22" s="23">
        <v>53</v>
      </c>
      <c r="F22" s="31">
        <f>500*28</f>
        <v>14000</v>
      </c>
      <c r="G22" s="32"/>
      <c r="H22" s="18">
        <v>20</v>
      </c>
      <c r="I22" s="28" t="s">
        <v>11</v>
      </c>
      <c r="J22" s="30">
        <f>SUM(M10:Q10)</f>
        <v>1</v>
      </c>
      <c r="K22" s="21">
        <v>55</v>
      </c>
      <c r="L22" s="31">
        <v>15000</v>
      </c>
      <c r="M22" s="21">
        <v>0.7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2.75">
      <c r="A23" s="25"/>
      <c r="B23" s="18">
        <v>10</v>
      </c>
      <c r="C23" s="28" t="s">
        <v>17</v>
      </c>
      <c r="D23" s="30">
        <f>F10+K10+P10+U10+Z10</f>
        <v>0</v>
      </c>
      <c r="E23" s="23">
        <v>44</v>
      </c>
      <c r="F23" s="31">
        <f>500*32</f>
        <v>16000</v>
      </c>
      <c r="G23" s="32"/>
      <c r="H23" s="18">
        <v>30</v>
      </c>
      <c r="I23" s="28" t="s">
        <v>12</v>
      </c>
      <c r="J23" s="30">
        <f>SUM(R10:V10)</f>
        <v>0</v>
      </c>
      <c r="K23" s="21">
        <v>80</v>
      </c>
      <c r="L23" s="31">
        <v>20000</v>
      </c>
      <c r="M23" s="21">
        <v>0.7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2.75">
      <c r="A24" s="25"/>
      <c r="B24" s="18">
        <v>12</v>
      </c>
      <c r="C24" s="28" t="s">
        <v>18</v>
      </c>
      <c r="D24" s="30">
        <f>G10+L10+Q10+V10+AA10</f>
        <v>1</v>
      </c>
      <c r="E24" s="23">
        <v>41</v>
      </c>
      <c r="F24" s="31">
        <f>500*34</f>
        <v>17000</v>
      </c>
      <c r="G24" s="32"/>
      <c r="H24" s="18">
        <v>40</v>
      </c>
      <c r="I24" s="28" t="s">
        <v>13</v>
      </c>
      <c r="J24" s="30">
        <f>SUM(W10:AA10)</f>
        <v>0</v>
      </c>
      <c r="K24" s="21">
        <v>100</v>
      </c>
      <c r="L24" s="31">
        <v>25000</v>
      </c>
      <c r="M24" s="21">
        <v>0.7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2.75">
      <c r="A25" s="6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3" ht="12.75">
      <c r="A26" s="35" t="s">
        <v>33</v>
      </c>
      <c r="B26" s="36">
        <f>SUMPRODUCT(C16:AA16,C10:AA10)</f>
        <v>11.826746660482375</v>
      </c>
      <c r="C26" s="32"/>
    </row>
    <row r="27" spans="1:3" ht="12.75">
      <c r="A27" s="35"/>
      <c r="B27" s="37"/>
      <c r="C27" s="32"/>
    </row>
    <row r="28" spans="1:2" ht="12.75">
      <c r="A28" s="38" t="s">
        <v>34</v>
      </c>
      <c r="B28" s="7">
        <v>0.95</v>
      </c>
    </row>
    <row r="29" spans="1:3" ht="12.75">
      <c r="A29" s="35" t="s">
        <v>35</v>
      </c>
      <c r="B29" s="39">
        <f>365*24*B28</f>
        <v>8322</v>
      </c>
      <c r="C29" s="32"/>
    </row>
    <row r="30" spans="1:3" ht="12.75">
      <c r="A30" s="35"/>
      <c r="C30" s="32"/>
    </row>
    <row r="31" spans="1:3" ht="25.5">
      <c r="A31" s="35" t="s">
        <v>36</v>
      </c>
      <c r="B31" s="24">
        <f>B26*B29</f>
        <v>98422.18570853432</v>
      </c>
      <c r="C31" s="32"/>
    </row>
    <row r="32" spans="1:12" ht="25.5">
      <c r="A32" s="35" t="s">
        <v>37</v>
      </c>
      <c r="B32" s="24">
        <f>B31*B4</f>
        <v>295266.55712560297</v>
      </c>
      <c r="C32" s="32"/>
      <c r="G32" s="40"/>
      <c r="H32" s="32"/>
      <c r="I32" s="41"/>
      <c r="J32" s="32"/>
      <c r="K32" s="32"/>
      <c r="L32" s="32"/>
    </row>
    <row r="33" spans="1:12" ht="25.5">
      <c r="A33" s="35" t="s">
        <v>38</v>
      </c>
      <c r="B33" s="42">
        <f>B64</f>
        <v>35431.98685507232</v>
      </c>
      <c r="C33" s="43"/>
      <c r="G33" s="40"/>
      <c r="H33" s="32"/>
      <c r="I33" s="32"/>
      <c r="J33" s="32"/>
      <c r="K33" s="32"/>
      <c r="L33" s="32"/>
    </row>
    <row r="34" spans="1:3" ht="12.75">
      <c r="A34" s="44"/>
      <c r="B34" s="45"/>
      <c r="C34" s="32"/>
    </row>
    <row r="35" spans="1:2" ht="12.75">
      <c r="A35" s="46" t="s">
        <v>39</v>
      </c>
      <c r="B35" s="32"/>
    </row>
    <row r="36" ht="12.75">
      <c r="A36" s="47"/>
    </row>
    <row r="37" spans="1:4" ht="51">
      <c r="A37" s="1" t="s">
        <v>40</v>
      </c>
      <c r="B37" s="48" t="s">
        <v>41</v>
      </c>
      <c r="D37" s="48" t="s">
        <v>42</v>
      </c>
    </row>
    <row r="38" spans="1:4" ht="12.75">
      <c r="A38" s="49" t="s">
        <v>43</v>
      </c>
      <c r="B38" s="50">
        <v>0.12</v>
      </c>
      <c r="C38" t="s">
        <v>44</v>
      </c>
      <c r="D38" s="7">
        <v>0</v>
      </c>
    </row>
    <row r="39" spans="1:5" ht="12.75">
      <c r="A39" s="49" t="s">
        <v>45</v>
      </c>
      <c r="B39" s="50">
        <v>0.1</v>
      </c>
      <c r="C39" t="s">
        <v>46</v>
      </c>
      <c r="D39" s="7">
        <f>10^6/2</f>
        <v>500000</v>
      </c>
      <c r="E39" t="s">
        <v>47</v>
      </c>
    </row>
    <row r="40" spans="1:5" ht="12.75">
      <c r="A40" s="49" t="s">
        <v>48</v>
      </c>
      <c r="B40" s="50">
        <v>0.07</v>
      </c>
      <c r="C40" t="s">
        <v>49</v>
      </c>
      <c r="D40" s="7">
        <f>10^6</f>
        <v>1000000</v>
      </c>
      <c r="E40" t="s">
        <v>50</v>
      </c>
    </row>
    <row r="41" ht="12.75">
      <c r="A41" s="6"/>
    </row>
    <row r="42" spans="1:3" ht="12.75">
      <c r="A42" s="6" t="s">
        <v>51</v>
      </c>
      <c r="B42" s="32"/>
      <c r="C42" s="32"/>
    </row>
    <row r="43" spans="1:6" ht="12.75">
      <c r="A43" s="6" t="s">
        <v>52</v>
      </c>
      <c r="B43" s="19">
        <v>0</v>
      </c>
      <c r="C43" s="51" t="s">
        <v>53</v>
      </c>
      <c r="D43" s="52">
        <v>295266.5571256027</v>
      </c>
      <c r="E43" s="51" t="s">
        <v>54</v>
      </c>
      <c r="F43" s="53">
        <f>B39*D39-B38*D39</f>
        <v>-10000</v>
      </c>
    </row>
    <row r="44" spans="1:6" ht="12.75">
      <c r="A44" s="6" t="s">
        <v>55</v>
      </c>
      <c r="B44" s="19">
        <v>0</v>
      </c>
      <c r="C44" s="51" t="s">
        <v>56</v>
      </c>
      <c r="D44" s="52">
        <v>0</v>
      </c>
      <c r="E44" s="51" t="s">
        <v>57</v>
      </c>
      <c r="F44" s="53">
        <f>B40*(D39+D40)-B39*(D39+D40)</f>
        <v>-44999.999999999985</v>
      </c>
    </row>
    <row r="45" spans="1:4" ht="12.75">
      <c r="A45" s="54" t="s">
        <v>58</v>
      </c>
      <c r="B45" s="28">
        <f>SUM(B43:B44)</f>
        <v>0</v>
      </c>
      <c r="C45" s="51" t="s">
        <v>59</v>
      </c>
      <c r="D45" s="55">
        <v>0</v>
      </c>
    </row>
    <row r="46" spans="1:4" ht="12.75">
      <c r="A46" s="1"/>
      <c r="B46" s="32"/>
      <c r="C46" s="51" t="s">
        <v>60</v>
      </c>
      <c r="D46" s="56">
        <f>SUM(D43:D45)</f>
        <v>295266.5571256027</v>
      </c>
    </row>
    <row r="47" spans="1:4" ht="12.75">
      <c r="A47" s="1"/>
      <c r="B47" s="32"/>
      <c r="C47" s="51"/>
      <c r="D47" s="57"/>
    </row>
    <row r="48" ht="12.75">
      <c r="A48" s="6"/>
    </row>
    <row r="49" spans="1:4" ht="12.75">
      <c r="A49" s="49" t="s">
        <v>61</v>
      </c>
      <c r="B49" s="17" t="s">
        <v>62</v>
      </c>
      <c r="C49" s="58" t="s">
        <v>63</v>
      </c>
      <c r="D49" s="17" t="s">
        <v>64</v>
      </c>
    </row>
    <row r="50" spans="1:3" ht="15.75">
      <c r="A50" s="6" t="s">
        <v>65</v>
      </c>
      <c r="C50" s="59" t="s">
        <v>66</v>
      </c>
    </row>
    <row r="51" spans="1:4" ht="12.75">
      <c r="A51" s="6" t="s">
        <v>67</v>
      </c>
      <c r="B51">
        <f>SUMPRODUCT(C10:AA10,C14:AA14)</f>
        <v>41</v>
      </c>
      <c r="C51" s="28" t="s">
        <v>68</v>
      </c>
      <c r="D51">
        <f>SUMPRODUCT(C10:AA10,C13:AA13)</f>
        <v>55</v>
      </c>
    </row>
    <row r="52" spans="1:4" ht="12.75">
      <c r="A52" s="6" t="s">
        <v>69</v>
      </c>
      <c r="B52">
        <f>SUM(C10:AA10)</f>
        <v>1</v>
      </c>
      <c r="C52" s="28" t="s">
        <v>70</v>
      </c>
      <c r="D52">
        <v>1</v>
      </c>
    </row>
    <row r="53" spans="1:6" ht="12.75">
      <c r="A53" s="6" t="s">
        <v>108</v>
      </c>
      <c r="B53">
        <f>D39*B43-D43</f>
        <v>-295266.5571256027</v>
      </c>
      <c r="C53" s="30" t="s">
        <v>68</v>
      </c>
      <c r="D53">
        <v>0</v>
      </c>
      <c r="F53" s="60"/>
    </row>
    <row r="54" spans="1:4" ht="12.75">
      <c r="A54" s="6" t="s">
        <v>71</v>
      </c>
      <c r="B54" s="60">
        <f>D43</f>
        <v>295266.5571256027</v>
      </c>
      <c r="C54" s="30" t="s">
        <v>68</v>
      </c>
      <c r="D54">
        <f>D39</f>
        <v>500000</v>
      </c>
    </row>
    <row r="55" spans="1:4" ht="12.75">
      <c r="A55" s="6" t="s">
        <v>109</v>
      </c>
      <c r="B55">
        <f>(D40-D39)*B44-D44</f>
        <v>0</v>
      </c>
      <c r="C55" s="30" t="s">
        <v>68</v>
      </c>
      <c r="D55">
        <v>0</v>
      </c>
    </row>
    <row r="56" spans="1:4" ht="12.75">
      <c r="A56" s="6" t="s">
        <v>110</v>
      </c>
      <c r="B56">
        <f>D44-(D40-D39)*B43</f>
        <v>0</v>
      </c>
      <c r="C56" s="30" t="s">
        <v>68</v>
      </c>
      <c r="D56">
        <v>0</v>
      </c>
    </row>
    <row r="57" spans="1:3" ht="12.75">
      <c r="A57" s="6" t="s">
        <v>72</v>
      </c>
      <c r="C57" s="30" t="s">
        <v>68</v>
      </c>
    </row>
    <row r="58" spans="1:4" ht="12.75">
      <c r="A58" s="6" t="s">
        <v>73</v>
      </c>
      <c r="B58">
        <f>D45-10^6*B44</f>
        <v>0</v>
      </c>
      <c r="C58" s="30" t="s">
        <v>68</v>
      </c>
      <c r="D58">
        <v>0</v>
      </c>
    </row>
    <row r="59" spans="1:5" ht="12.75">
      <c r="A59" s="6" t="s">
        <v>74</v>
      </c>
      <c r="B59" s="60">
        <f>SUM(D43:D45)-B32</f>
        <v>0</v>
      </c>
      <c r="C59" s="30" t="s">
        <v>70</v>
      </c>
      <c r="D59">
        <v>0</v>
      </c>
      <c r="E59" s="60"/>
    </row>
    <row r="60" spans="1:3" ht="12.75">
      <c r="A60" s="6" t="s">
        <v>75</v>
      </c>
      <c r="C60" s="30" t="s">
        <v>70</v>
      </c>
    </row>
    <row r="61" spans="1:3" ht="12.75">
      <c r="A61" s="6" t="s">
        <v>76</v>
      </c>
      <c r="C61" s="30" t="s">
        <v>70</v>
      </c>
    </row>
    <row r="62" spans="1:3" ht="12.75">
      <c r="A62" s="6"/>
      <c r="C62" s="13"/>
    </row>
    <row r="63" spans="1:3" ht="15.75">
      <c r="A63" s="1"/>
      <c r="B63" s="61"/>
      <c r="C63" s="13"/>
    </row>
    <row r="64" spans="1:3" ht="12.75">
      <c r="A64" s="49" t="s">
        <v>77</v>
      </c>
      <c r="B64" s="62">
        <f>B38*D43+B39*D44+B40*D45+F43*B43+F44*B44</f>
        <v>35431.98685507232</v>
      </c>
      <c r="C64" s="43" t="s">
        <v>78</v>
      </c>
    </row>
    <row r="65" ht="12.75">
      <c r="A65" s="63" t="s">
        <v>79</v>
      </c>
    </row>
    <row r="66" spans="1:3" ht="38.25">
      <c r="A66" s="1" t="s">
        <v>80</v>
      </c>
      <c r="B66" s="48" t="s">
        <v>81</v>
      </c>
      <c r="C66" s="48"/>
    </row>
    <row r="67" spans="1:3" ht="12.75">
      <c r="A67" s="6" t="s">
        <v>43</v>
      </c>
      <c r="B67" s="50">
        <v>0.07</v>
      </c>
      <c r="C67">
        <v>0</v>
      </c>
    </row>
    <row r="68" spans="1:3" ht="12.75">
      <c r="A68" s="6" t="s">
        <v>45</v>
      </c>
      <c r="B68" s="50">
        <v>0.1</v>
      </c>
      <c r="C68">
        <f>10^6/2</f>
        <v>500000</v>
      </c>
    </row>
    <row r="69" spans="1:3" ht="12.75">
      <c r="A69" s="6" t="s">
        <v>48</v>
      </c>
      <c r="B69" s="50">
        <v>0.12</v>
      </c>
      <c r="C69">
        <f>10^6</f>
        <v>1000000</v>
      </c>
    </row>
    <row r="70" ht="12.75">
      <c r="A70" s="6"/>
    </row>
    <row r="71" ht="12.75">
      <c r="A71" s="64" t="s">
        <v>82</v>
      </c>
    </row>
    <row r="72" ht="12.75">
      <c r="A72" s="65" t="s">
        <v>83</v>
      </c>
    </row>
    <row r="73" spans="1:3" ht="12.75">
      <c r="A73" s="65" t="s">
        <v>84</v>
      </c>
      <c r="B73" s="50">
        <v>0.1</v>
      </c>
      <c r="C73" t="s">
        <v>85</v>
      </c>
    </row>
    <row r="74" ht="12.75">
      <c r="A74" s="65"/>
    </row>
    <row r="75" spans="1:2" ht="12.75">
      <c r="A75" s="65" t="s">
        <v>86</v>
      </c>
      <c r="B75" s="66">
        <v>5</v>
      </c>
    </row>
    <row r="76" spans="1:5" ht="51">
      <c r="A76" s="54" t="s">
        <v>87</v>
      </c>
      <c r="B76" s="32" t="s">
        <v>88</v>
      </c>
      <c r="C76" s="48" t="s">
        <v>89</v>
      </c>
      <c r="D76" s="48" t="s">
        <v>90</v>
      </c>
      <c r="E76" s="48" t="s">
        <v>91</v>
      </c>
    </row>
    <row r="77" spans="1:5" ht="12.75">
      <c r="A77" s="54" t="s">
        <v>92</v>
      </c>
      <c r="B77" s="67">
        <v>0.5</v>
      </c>
      <c r="C77" s="7">
        <v>0</v>
      </c>
      <c r="D77" s="68">
        <f>$B$82*C77</f>
        <v>0</v>
      </c>
      <c r="E77" s="68">
        <f>$B$73+D77</f>
        <v>0.1</v>
      </c>
    </row>
    <row r="78" spans="1:5" ht="12.75">
      <c r="A78" s="54" t="s">
        <v>93</v>
      </c>
      <c r="B78" s="67">
        <v>0.35</v>
      </c>
      <c r="C78" s="69">
        <v>0.08</v>
      </c>
      <c r="D78" s="68">
        <f>$B$82*C78</f>
        <v>0.045709090909090914</v>
      </c>
      <c r="E78" s="68">
        <f>$B$73+D78</f>
        <v>0.14570909090909093</v>
      </c>
    </row>
    <row r="79" spans="1:5" ht="12.75">
      <c r="A79" s="54" t="s">
        <v>94</v>
      </c>
      <c r="B79" s="67">
        <v>0.15</v>
      </c>
      <c r="C79" s="69">
        <v>0.25</v>
      </c>
      <c r="D79" s="68">
        <f>$B$82*C79</f>
        <v>0.1428409090909091</v>
      </c>
      <c r="E79" s="68">
        <f>$B$73+D79</f>
        <v>0.2428409090909091</v>
      </c>
    </row>
    <row r="80" spans="1:5" ht="12.75">
      <c r="A80" s="54"/>
      <c r="B80" s="70"/>
      <c r="C80" s="71"/>
      <c r="D80" s="72"/>
      <c r="E80" s="72"/>
    </row>
    <row r="81" spans="1:3" ht="12.75">
      <c r="A81" s="65" t="s">
        <v>95</v>
      </c>
      <c r="B81" s="32"/>
      <c r="C81" s="32"/>
    </row>
    <row r="82" spans="1:3" ht="12.75">
      <c r="A82" s="65" t="s">
        <v>96</v>
      </c>
      <c r="B82" s="73">
        <f>2.095*12/(32+12)</f>
        <v>0.5713636363636364</v>
      </c>
      <c r="C82" s="32"/>
    </row>
    <row r="83" spans="1:3" ht="12.75">
      <c r="A83" s="1"/>
      <c r="B83" s="32"/>
      <c r="C83" s="32"/>
    </row>
    <row r="84" ht="12.75">
      <c r="A84" s="1"/>
    </row>
    <row r="85" ht="12.75">
      <c r="A85" s="1"/>
    </row>
    <row r="86" ht="12.75">
      <c r="A86" s="2" t="s">
        <v>97</v>
      </c>
    </row>
    <row r="87" spans="1:6" ht="12.75">
      <c r="A87" s="6" t="s">
        <v>98</v>
      </c>
      <c r="B87" t="s">
        <v>99</v>
      </c>
      <c r="F87" s="74">
        <f>SUMPRODUCT(J20:J24,L20:L24)*B4</f>
        <v>45000</v>
      </c>
    </row>
    <row r="88" spans="1:6" ht="12.75">
      <c r="A88" s="6" t="s">
        <v>100</v>
      </c>
      <c r="B88" t="s">
        <v>101</v>
      </c>
      <c r="F88" s="74">
        <f>SUMPRODUCT(D20:D24,F20:F24)*B4</f>
        <v>51000</v>
      </c>
    </row>
    <row r="89" spans="1:6" ht="12.75">
      <c r="A89" s="6" t="s">
        <v>102</v>
      </c>
      <c r="B89" t="s">
        <v>103</v>
      </c>
      <c r="F89" s="74">
        <f>B33</f>
        <v>35431.98685507232</v>
      </c>
    </row>
    <row r="90" spans="1:6" ht="12.75">
      <c r="A90" s="6" t="s">
        <v>104</v>
      </c>
      <c r="B90" t="s">
        <v>105</v>
      </c>
      <c r="F90" s="75">
        <v>20</v>
      </c>
    </row>
    <row r="91" spans="1:6" ht="12.75">
      <c r="A91" s="1"/>
      <c r="B91" s="46"/>
      <c r="C91" s="46"/>
      <c r="D91" s="46"/>
      <c r="E91" s="46"/>
      <c r="F91" s="46"/>
    </row>
    <row r="92" spans="1:6" ht="12.75">
      <c r="A92" s="1" t="s">
        <v>106</v>
      </c>
      <c r="B92" s="76" t="s">
        <v>107</v>
      </c>
      <c r="C92" s="76"/>
      <c r="D92" s="46"/>
      <c r="E92" s="46"/>
      <c r="F92" s="77">
        <f>F87+F88+F89*F90</f>
        <v>804639.7371014464</v>
      </c>
    </row>
    <row r="93" spans="1:6" ht="12.75">
      <c r="A93" s="1"/>
      <c r="B93" s="76"/>
      <c r="C93" s="76"/>
      <c r="D93" s="46"/>
      <c r="E93" s="46"/>
      <c r="F93" s="46"/>
    </row>
  </sheetData>
  <mergeCells count="1">
    <mergeCell ref="B8:B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7.57421875" style="0" bestFit="1" customWidth="1"/>
    <col min="3" max="3" width="44.00390625" style="0" bestFit="1" customWidth="1"/>
    <col min="4" max="4" width="14.28125" style="0" bestFit="1" customWidth="1"/>
    <col min="5" max="5" width="14.00390625" style="0" bestFit="1" customWidth="1"/>
    <col min="6" max="6" width="10.57421875" style="0" bestFit="1" customWidth="1"/>
    <col min="7" max="7" width="12.00390625" style="0" bestFit="1" customWidth="1"/>
  </cols>
  <sheetData>
    <row r="1" ht="12.75">
      <c r="A1" s="46" t="s">
        <v>117</v>
      </c>
    </row>
    <row r="2" ht="12.75">
      <c r="A2" s="46" t="s">
        <v>118</v>
      </c>
    </row>
    <row r="3" ht="12.75">
      <c r="A3" s="46" t="s">
        <v>119</v>
      </c>
    </row>
    <row r="6" ht="13.5" thickBot="1">
      <c r="A6" t="s">
        <v>120</v>
      </c>
    </row>
    <row r="7" spans="2:5" ht="13.5" thickBot="1">
      <c r="B7" s="86" t="s">
        <v>121</v>
      </c>
      <c r="C7" s="86" t="s">
        <v>122</v>
      </c>
      <c r="D7" s="86" t="s">
        <v>123</v>
      </c>
      <c r="E7" s="86" t="s">
        <v>124</v>
      </c>
    </row>
    <row r="8" spans="2:5" ht="13.5" thickBot="1">
      <c r="B8" s="85" t="s">
        <v>130</v>
      </c>
      <c r="C8" s="85" t="s">
        <v>131</v>
      </c>
      <c r="D8" s="88">
        <v>2246865.8999</v>
      </c>
      <c r="E8" s="88">
        <v>2246865.8999</v>
      </c>
    </row>
    <row r="11" ht="13.5" thickBot="1">
      <c r="A11" t="s">
        <v>125</v>
      </c>
    </row>
    <row r="12" spans="2:5" ht="13.5" thickBot="1">
      <c r="B12" s="86" t="s">
        <v>121</v>
      </c>
      <c r="C12" s="86" t="s">
        <v>122</v>
      </c>
      <c r="D12" s="86" t="s">
        <v>123</v>
      </c>
      <c r="E12" s="86" t="s">
        <v>124</v>
      </c>
    </row>
    <row r="13" spans="2:5" ht="12.75">
      <c r="B13" s="87" t="s">
        <v>132</v>
      </c>
      <c r="C13" s="87" t="s">
        <v>133</v>
      </c>
      <c r="D13" s="89">
        <v>0</v>
      </c>
      <c r="E13" s="89">
        <v>0</v>
      </c>
    </row>
    <row r="14" spans="2:5" ht="12.75">
      <c r="B14" s="87" t="s">
        <v>134</v>
      </c>
      <c r="C14" s="87" t="s">
        <v>135</v>
      </c>
      <c r="D14" s="89">
        <v>0</v>
      </c>
      <c r="E14" s="89">
        <v>0</v>
      </c>
    </row>
    <row r="15" spans="2:5" ht="12.75">
      <c r="B15" s="87" t="s">
        <v>136</v>
      </c>
      <c r="C15" s="87" t="s">
        <v>137</v>
      </c>
      <c r="D15" s="89">
        <v>0</v>
      </c>
      <c r="E15" s="89">
        <v>0</v>
      </c>
    </row>
    <row r="16" spans="2:5" ht="12.75">
      <c r="B16" s="87" t="s">
        <v>138</v>
      </c>
      <c r="C16" s="87" t="s">
        <v>139</v>
      </c>
      <c r="D16" s="89">
        <v>0</v>
      </c>
      <c r="E16" s="89">
        <v>0</v>
      </c>
    </row>
    <row r="17" spans="2:5" ht="12.75">
      <c r="B17" s="87" t="s">
        <v>140</v>
      </c>
      <c r="C17" s="87" t="s">
        <v>141</v>
      </c>
      <c r="D17" s="89">
        <v>0</v>
      </c>
      <c r="E17" s="89">
        <v>0</v>
      </c>
    </row>
    <row r="18" spans="2:5" ht="12.75">
      <c r="B18" s="87" t="s">
        <v>142</v>
      </c>
      <c r="C18" s="87" t="s">
        <v>133</v>
      </c>
      <c r="D18" s="89">
        <v>0</v>
      </c>
      <c r="E18" s="89">
        <v>0</v>
      </c>
    </row>
    <row r="19" spans="2:5" ht="12.75">
      <c r="B19" s="87" t="s">
        <v>143</v>
      </c>
      <c r="C19" s="87" t="s">
        <v>135</v>
      </c>
      <c r="D19" s="89">
        <v>0</v>
      </c>
      <c r="E19" s="89">
        <v>0</v>
      </c>
    </row>
    <row r="20" spans="2:5" ht="12.75">
      <c r="B20" s="87" t="s">
        <v>144</v>
      </c>
      <c r="C20" s="87" t="s">
        <v>137</v>
      </c>
      <c r="D20" s="89">
        <v>0</v>
      </c>
      <c r="E20" s="89">
        <v>0</v>
      </c>
    </row>
    <row r="21" spans="2:5" ht="12.75">
      <c r="B21" s="87" t="s">
        <v>145</v>
      </c>
      <c r="C21" s="87" t="s">
        <v>139</v>
      </c>
      <c r="D21" s="89">
        <v>0</v>
      </c>
      <c r="E21" s="89">
        <v>0</v>
      </c>
    </row>
    <row r="22" spans="2:5" ht="12.75">
      <c r="B22" s="87" t="s">
        <v>146</v>
      </c>
      <c r="C22" s="87" t="s">
        <v>141</v>
      </c>
      <c r="D22" s="89">
        <v>0</v>
      </c>
      <c r="E22" s="89">
        <v>0</v>
      </c>
    </row>
    <row r="23" spans="2:5" ht="12.75">
      <c r="B23" s="87" t="s">
        <v>147</v>
      </c>
      <c r="C23" s="87" t="s">
        <v>133</v>
      </c>
      <c r="D23" s="89">
        <v>0</v>
      </c>
      <c r="E23" s="89">
        <v>0</v>
      </c>
    </row>
    <row r="24" spans="2:5" ht="12.75">
      <c r="B24" s="87" t="s">
        <v>148</v>
      </c>
      <c r="C24" s="87" t="s">
        <v>135</v>
      </c>
      <c r="D24" s="89">
        <v>0</v>
      </c>
      <c r="E24" s="89">
        <v>0</v>
      </c>
    </row>
    <row r="25" spans="2:5" ht="12.75">
      <c r="B25" s="87" t="s">
        <v>149</v>
      </c>
      <c r="C25" s="87" t="s">
        <v>137</v>
      </c>
      <c r="D25" s="89">
        <v>0</v>
      </c>
      <c r="E25" s="89">
        <v>0</v>
      </c>
    </row>
    <row r="26" spans="2:5" ht="12.75">
      <c r="B26" s="87" t="s">
        <v>150</v>
      </c>
      <c r="C26" s="87" t="s">
        <v>139</v>
      </c>
      <c r="D26" s="89">
        <v>0</v>
      </c>
      <c r="E26" s="89">
        <v>0</v>
      </c>
    </row>
    <row r="27" spans="2:5" ht="12.75">
      <c r="B27" s="87" t="s">
        <v>151</v>
      </c>
      <c r="C27" s="87" t="s">
        <v>141</v>
      </c>
      <c r="D27" s="89">
        <v>1</v>
      </c>
      <c r="E27" s="89">
        <v>1</v>
      </c>
    </row>
    <row r="28" spans="2:5" ht="12.75">
      <c r="B28" s="87" t="s">
        <v>152</v>
      </c>
      <c r="C28" s="87" t="s">
        <v>133</v>
      </c>
      <c r="D28" s="89">
        <v>0</v>
      </c>
      <c r="E28" s="89">
        <v>0</v>
      </c>
    </row>
    <row r="29" spans="2:5" ht="12.75">
      <c r="B29" s="87" t="s">
        <v>153</v>
      </c>
      <c r="C29" s="87" t="s">
        <v>135</v>
      </c>
      <c r="D29" s="89">
        <v>0</v>
      </c>
      <c r="E29" s="89">
        <v>0</v>
      </c>
    </row>
    <row r="30" spans="2:5" ht="12.75">
      <c r="B30" s="87" t="s">
        <v>154</v>
      </c>
      <c r="C30" s="87" t="s">
        <v>137</v>
      </c>
      <c r="D30" s="89">
        <v>0</v>
      </c>
      <c r="E30" s="89">
        <v>0</v>
      </c>
    </row>
    <row r="31" spans="2:5" ht="12.75">
      <c r="B31" s="87" t="s">
        <v>155</v>
      </c>
      <c r="C31" s="87" t="s">
        <v>139</v>
      </c>
      <c r="D31" s="89">
        <v>0</v>
      </c>
      <c r="E31" s="89">
        <v>0</v>
      </c>
    </row>
    <row r="32" spans="2:5" ht="12.75">
      <c r="B32" s="87" t="s">
        <v>156</v>
      </c>
      <c r="C32" s="87" t="s">
        <v>141</v>
      </c>
      <c r="D32" s="89">
        <v>0</v>
      </c>
      <c r="E32" s="89">
        <v>0</v>
      </c>
    </row>
    <row r="33" spans="2:5" ht="12.75">
      <c r="B33" s="87" t="s">
        <v>157</v>
      </c>
      <c r="C33" s="87" t="s">
        <v>133</v>
      </c>
      <c r="D33" s="89">
        <v>0</v>
      </c>
      <c r="E33" s="89">
        <v>0</v>
      </c>
    </row>
    <row r="34" spans="2:5" ht="12.75">
      <c r="B34" s="87" t="s">
        <v>158</v>
      </c>
      <c r="C34" s="87" t="s">
        <v>135</v>
      </c>
      <c r="D34" s="89">
        <v>0</v>
      </c>
      <c r="E34" s="89">
        <v>0</v>
      </c>
    </row>
    <row r="35" spans="2:5" ht="12.75">
      <c r="B35" s="87" t="s">
        <v>159</v>
      </c>
      <c r="C35" s="87" t="s">
        <v>137</v>
      </c>
      <c r="D35" s="89">
        <v>0</v>
      </c>
      <c r="E35" s="89">
        <v>0</v>
      </c>
    </row>
    <row r="36" spans="2:5" ht="12.75">
      <c r="B36" s="87" t="s">
        <v>160</v>
      </c>
      <c r="C36" s="87" t="s">
        <v>139</v>
      </c>
      <c r="D36" s="89">
        <v>0</v>
      </c>
      <c r="E36" s="89">
        <v>0</v>
      </c>
    </row>
    <row r="37" spans="2:5" ht="12.75">
      <c r="B37" s="87" t="s">
        <v>161</v>
      </c>
      <c r="C37" s="87" t="s">
        <v>141</v>
      </c>
      <c r="D37" s="89">
        <v>0</v>
      </c>
      <c r="E37" s="89">
        <v>0</v>
      </c>
    </row>
    <row r="38" spans="2:5" ht="12.75">
      <c r="B38" s="87" t="s">
        <v>162</v>
      </c>
      <c r="C38" s="87" t="s">
        <v>163</v>
      </c>
      <c r="D38" s="89">
        <v>1</v>
      </c>
      <c r="E38" s="89">
        <v>1</v>
      </c>
    </row>
    <row r="39" spans="2:5" ht="12.75">
      <c r="B39" s="87" t="s">
        <v>164</v>
      </c>
      <c r="C39" s="87" t="s">
        <v>165</v>
      </c>
      <c r="D39" s="89">
        <v>1</v>
      </c>
      <c r="E39" s="89">
        <v>1</v>
      </c>
    </row>
    <row r="40" spans="2:5" ht="12.75">
      <c r="B40" s="87" t="s">
        <v>166</v>
      </c>
      <c r="C40" s="87" t="s">
        <v>167</v>
      </c>
      <c r="D40" s="90">
        <v>500</v>
      </c>
      <c r="E40" s="90">
        <v>500</v>
      </c>
    </row>
    <row r="41" spans="2:5" ht="12.75">
      <c r="B41" s="87" t="s">
        <v>168</v>
      </c>
      <c r="C41" s="87" t="s">
        <v>169</v>
      </c>
      <c r="D41" s="90">
        <v>500</v>
      </c>
      <c r="E41" s="90">
        <v>500</v>
      </c>
    </row>
    <row r="42" spans="2:5" ht="13.5" thickBot="1">
      <c r="B42" s="85" t="s">
        <v>170</v>
      </c>
      <c r="C42" s="85" t="s">
        <v>171</v>
      </c>
      <c r="D42" s="91">
        <v>476.33278562800876</v>
      </c>
      <c r="E42" s="91">
        <v>476.33278562800876</v>
      </c>
    </row>
    <row r="45" ht="13.5" thickBot="1">
      <c r="A45" t="s">
        <v>61</v>
      </c>
    </row>
    <row r="46" spans="2:7" ht="13.5" thickBot="1">
      <c r="B46" s="86" t="s">
        <v>121</v>
      </c>
      <c r="C46" s="86" t="s">
        <v>122</v>
      </c>
      <c r="D46" s="86" t="s">
        <v>126</v>
      </c>
      <c r="E46" s="86" t="s">
        <v>127</v>
      </c>
      <c r="F46" s="86" t="s">
        <v>128</v>
      </c>
      <c r="G46" s="86" t="s">
        <v>129</v>
      </c>
    </row>
    <row r="47" spans="2:7" ht="12.75">
      <c r="B47" s="87" t="s">
        <v>172</v>
      </c>
      <c r="C47" s="87" t="s">
        <v>173</v>
      </c>
      <c r="D47" s="89">
        <v>-14</v>
      </c>
      <c r="E47" s="87" t="s">
        <v>174</v>
      </c>
      <c r="F47" s="87" t="s">
        <v>175</v>
      </c>
      <c r="G47" s="87">
        <v>14</v>
      </c>
    </row>
    <row r="48" spans="2:7" ht="12.75">
      <c r="B48" s="87" t="s">
        <v>176</v>
      </c>
      <c r="C48" s="87" t="s">
        <v>177</v>
      </c>
      <c r="D48" s="89">
        <v>1</v>
      </c>
      <c r="E48" s="87" t="s">
        <v>178</v>
      </c>
      <c r="F48" s="87" t="s">
        <v>179</v>
      </c>
      <c r="G48" s="87">
        <v>0</v>
      </c>
    </row>
    <row r="49" spans="2:7" ht="12.75">
      <c r="B49" s="87" t="s">
        <v>180</v>
      </c>
      <c r="C49" s="87" t="s">
        <v>181</v>
      </c>
      <c r="D49" s="89">
        <v>0</v>
      </c>
      <c r="E49" s="87" t="s">
        <v>182</v>
      </c>
      <c r="F49" s="87" t="s">
        <v>179</v>
      </c>
      <c r="G49" s="87">
        <v>0</v>
      </c>
    </row>
    <row r="50" spans="2:7" ht="12.75">
      <c r="B50" s="87" t="s">
        <v>183</v>
      </c>
      <c r="C50" s="87" t="s">
        <v>184</v>
      </c>
      <c r="D50" s="90">
        <v>0</v>
      </c>
      <c r="E50" s="87" t="s">
        <v>185</v>
      </c>
      <c r="F50" s="87" t="s">
        <v>179</v>
      </c>
      <c r="G50" s="87">
        <v>0</v>
      </c>
    </row>
    <row r="51" spans="2:7" ht="12.75">
      <c r="B51" s="87" t="s">
        <v>186</v>
      </c>
      <c r="C51" s="87" t="s">
        <v>187</v>
      </c>
      <c r="D51" s="89">
        <v>0</v>
      </c>
      <c r="E51" s="87" t="s">
        <v>188</v>
      </c>
      <c r="F51" s="87" t="s">
        <v>179</v>
      </c>
      <c r="G51" s="87">
        <v>0</v>
      </c>
    </row>
    <row r="52" spans="2:7" ht="12.75">
      <c r="B52" s="87" t="s">
        <v>189</v>
      </c>
      <c r="C52" s="87" t="s">
        <v>190</v>
      </c>
      <c r="D52" s="89">
        <v>0</v>
      </c>
      <c r="E52" s="87" t="s">
        <v>191</v>
      </c>
      <c r="F52" s="87" t="s">
        <v>179</v>
      </c>
      <c r="G52" s="87">
        <v>0</v>
      </c>
    </row>
    <row r="53" spans="2:7" ht="12.75">
      <c r="B53" s="87" t="s">
        <v>192</v>
      </c>
      <c r="C53" s="87" t="s">
        <v>193</v>
      </c>
      <c r="D53" s="89">
        <v>-9523.667214371992</v>
      </c>
      <c r="E53" s="87" t="s">
        <v>194</v>
      </c>
      <c r="F53" s="87" t="s">
        <v>175</v>
      </c>
      <c r="G53" s="87">
        <v>9523.667214371992</v>
      </c>
    </row>
    <row r="54" spans="2:7" ht="13.5" thickBot="1">
      <c r="B54" s="85" t="s">
        <v>195</v>
      </c>
      <c r="C54" s="85" t="s">
        <v>196</v>
      </c>
      <c r="D54" s="91">
        <v>-5.9117155615240335E-12</v>
      </c>
      <c r="E54" s="85" t="s">
        <v>197</v>
      </c>
      <c r="F54" s="85" t="s">
        <v>179</v>
      </c>
      <c r="G54" s="85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8:E47"/>
  <sheetViews>
    <sheetView workbookViewId="0" topLeftCell="A1">
      <selection activeCell="T31" sqref="S31:T31"/>
    </sheetView>
  </sheetViews>
  <sheetFormatPr defaultColWidth="9.140625" defaultRowHeight="12.75"/>
  <sheetData>
    <row r="8" spans="3:5" ht="12.75">
      <c r="C8" s="50">
        <f>'Scaled, Option 1'!B38/1000</f>
        <v>0.12</v>
      </c>
      <c r="D8" t="s">
        <v>44</v>
      </c>
      <c r="E8" s="7">
        <v>0</v>
      </c>
    </row>
    <row r="9" spans="3:5" ht="12.75">
      <c r="C9" s="50">
        <f>C8</f>
        <v>0.12</v>
      </c>
      <c r="E9" s="7">
        <f>'Scaled, Option 1'!D39*1000</f>
        <v>500000</v>
      </c>
    </row>
    <row r="10" spans="3:5" ht="12.75">
      <c r="C10" s="50">
        <f>'Scaled, Option 1'!B39/1000</f>
        <v>0.1</v>
      </c>
      <c r="D10" t="s">
        <v>46</v>
      </c>
      <c r="E10" s="7">
        <f>E9</f>
        <v>500000</v>
      </c>
    </row>
    <row r="11" spans="3:5" ht="12.75">
      <c r="C11" s="50">
        <f>C10</f>
        <v>0.1</v>
      </c>
      <c r="E11" s="7">
        <f>'Scaled, Option 1'!D40*1000</f>
        <v>1000000</v>
      </c>
    </row>
    <row r="12" spans="3:5" ht="12.75">
      <c r="C12" s="50">
        <f>'Scaled, Option 1'!B40/1000</f>
        <v>0.07</v>
      </c>
      <c r="D12" t="s">
        <v>49</v>
      </c>
      <c r="E12" s="7">
        <f>E11</f>
        <v>1000000</v>
      </c>
    </row>
    <row r="13" spans="3:5" ht="12.75">
      <c r="C13" s="143">
        <f>C12</f>
        <v>0.07</v>
      </c>
      <c r="E13" s="144">
        <f>2*E12</f>
        <v>2000000</v>
      </c>
    </row>
    <row r="14" spans="3:5" ht="12.75">
      <c r="C14" s="146"/>
      <c r="D14" s="94"/>
      <c r="E14" s="147"/>
    </row>
    <row r="42" spans="2:3" ht="12.75">
      <c r="B42" s="50">
        <f>'Scaled, option 3'!B38/1000</f>
        <v>0.07</v>
      </c>
      <c r="C42">
        <v>0</v>
      </c>
    </row>
    <row r="43" spans="2:3" ht="12.75">
      <c r="B43" s="145">
        <f>B42</f>
        <v>0.07</v>
      </c>
      <c r="C43">
        <f>'Scaled, option 3'!D39*1000</f>
        <v>500000</v>
      </c>
    </row>
    <row r="44" spans="2:3" ht="12.75">
      <c r="B44" s="50">
        <f>'Scaled, option 3'!B39/1000</f>
        <v>0.1</v>
      </c>
      <c r="C44">
        <f>C43</f>
        <v>500000</v>
      </c>
    </row>
    <row r="45" spans="2:3" ht="12.75">
      <c r="B45" s="145">
        <f>B44</f>
        <v>0.1</v>
      </c>
      <c r="C45">
        <f>'Scaled, option 3'!D40*1000</f>
        <v>1000000</v>
      </c>
    </row>
    <row r="46" spans="2:3" ht="12.75">
      <c r="B46" s="50">
        <f>'Scaled, option 3'!B40/1000</f>
        <v>0.12</v>
      </c>
      <c r="C46">
        <f>C45</f>
        <v>1000000</v>
      </c>
    </row>
    <row r="47" spans="2:3" ht="12.75">
      <c r="B47" s="145">
        <f>B46</f>
        <v>0.12</v>
      </c>
      <c r="C47">
        <f>2*C46</f>
        <v>2000000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8"/>
  <sheetViews>
    <sheetView workbookViewId="0" topLeftCell="A1">
      <selection activeCell="C47" sqref="C47"/>
    </sheetView>
  </sheetViews>
  <sheetFormatPr defaultColWidth="9.140625" defaultRowHeight="12.75"/>
  <cols>
    <col min="1" max="4" width="14.421875" style="32" customWidth="1"/>
    <col min="5" max="6" width="15.8515625" style="32" customWidth="1"/>
    <col min="7" max="8" width="14.421875" style="32" customWidth="1"/>
    <col min="9" max="9" width="14.00390625" style="0" customWidth="1"/>
    <col min="10" max="10" width="12.57421875" style="0" customWidth="1"/>
    <col min="11" max="12" width="13.57421875" style="0" customWidth="1"/>
  </cols>
  <sheetData>
    <row r="2" ht="12.75">
      <c r="A2" s="178"/>
    </row>
    <row r="3" spans="1:10" ht="13.5" thickBot="1">
      <c r="A3" s="149"/>
      <c r="F3" s="41"/>
      <c r="G3" s="41"/>
      <c r="H3" s="41"/>
      <c r="I3" s="9"/>
      <c r="J3" s="9"/>
    </row>
    <row r="4" spans="1:10" ht="12.75">
      <c r="A4" s="204" t="s">
        <v>223</v>
      </c>
      <c r="B4" s="205"/>
      <c r="C4" s="205"/>
      <c r="D4" s="205"/>
      <c r="E4" s="206"/>
      <c r="F4" s="202"/>
      <c r="G4" s="202"/>
      <c r="H4" s="203"/>
      <c r="I4" s="203"/>
      <c r="J4" s="9"/>
    </row>
    <row r="5" spans="1:10" ht="38.25">
      <c r="A5" s="153" t="s">
        <v>233</v>
      </c>
      <c r="B5" s="153" t="s">
        <v>221</v>
      </c>
      <c r="C5" s="150" t="s">
        <v>226</v>
      </c>
      <c r="D5" s="150" t="s">
        <v>222</v>
      </c>
      <c r="E5" s="161" t="s">
        <v>228</v>
      </c>
      <c r="F5" s="196"/>
      <c r="G5" s="196"/>
      <c r="H5" s="196"/>
      <c r="I5" s="196"/>
      <c r="J5" s="9"/>
    </row>
    <row r="6" spans="1:10" ht="12.75">
      <c r="A6" s="158">
        <v>1</v>
      </c>
      <c r="B6" s="155" t="s">
        <v>224</v>
      </c>
      <c r="C6" s="28">
        <v>75260</v>
      </c>
      <c r="D6" s="152">
        <v>263724.9850081712</v>
      </c>
      <c r="E6" s="162">
        <v>20</v>
      </c>
      <c r="F6" s="41"/>
      <c r="G6" s="41"/>
      <c r="H6" s="197"/>
      <c r="I6" s="198"/>
      <c r="J6" s="9"/>
    </row>
    <row r="7" spans="1:10" ht="12.75">
      <c r="A7" s="158">
        <v>2</v>
      </c>
      <c r="B7" s="155" t="s">
        <v>224</v>
      </c>
      <c r="C7" s="28">
        <v>150521</v>
      </c>
      <c r="D7" s="152">
        <v>527449.9700163424</v>
      </c>
      <c r="E7" s="162">
        <v>20</v>
      </c>
      <c r="F7" s="41"/>
      <c r="G7" s="41"/>
      <c r="H7" s="197"/>
      <c r="I7" s="198"/>
      <c r="J7" s="9"/>
    </row>
    <row r="8" spans="1:10" ht="12.75">
      <c r="A8" s="158">
        <v>3</v>
      </c>
      <c r="B8" s="155" t="s">
        <v>224</v>
      </c>
      <c r="C8" s="28">
        <v>225781</v>
      </c>
      <c r="D8" s="152">
        <v>791174.9550245138</v>
      </c>
      <c r="E8" s="162">
        <v>20</v>
      </c>
      <c r="F8" s="41"/>
      <c r="G8" s="41"/>
      <c r="H8" s="197"/>
      <c r="I8" s="198"/>
      <c r="J8" s="9"/>
    </row>
    <row r="9" spans="1:10" ht="12.75">
      <c r="A9" s="158">
        <v>4</v>
      </c>
      <c r="B9" s="155" t="s">
        <v>224</v>
      </c>
      <c r="C9" s="28">
        <v>301042</v>
      </c>
      <c r="D9" s="152">
        <v>874274.9550245138</v>
      </c>
      <c r="E9" s="162">
        <v>20</v>
      </c>
      <c r="F9" s="41"/>
      <c r="G9" s="41"/>
      <c r="H9" s="197"/>
      <c r="I9" s="198"/>
      <c r="J9" s="9"/>
    </row>
    <row r="10" spans="1:10" ht="12.75">
      <c r="A10" s="158">
        <v>5</v>
      </c>
      <c r="B10" s="155" t="s">
        <v>224</v>
      </c>
      <c r="C10" s="28">
        <v>376302</v>
      </c>
      <c r="D10" s="152">
        <v>1318624.9250408555</v>
      </c>
      <c r="E10" s="162">
        <v>20</v>
      </c>
      <c r="F10" s="41"/>
      <c r="G10" s="41"/>
      <c r="H10" s="197"/>
      <c r="I10" s="198"/>
      <c r="J10" s="9"/>
    </row>
    <row r="11" spans="1:10" ht="12.75">
      <c r="A11" s="158">
        <v>6</v>
      </c>
      <c r="B11" s="164" t="s">
        <v>225</v>
      </c>
      <c r="C11" s="28">
        <v>504111</v>
      </c>
      <c r="D11" s="152">
        <v>1460627.2682337645</v>
      </c>
      <c r="E11" s="162">
        <v>20</v>
      </c>
      <c r="F11" s="199"/>
      <c r="G11" s="41"/>
      <c r="H11" s="197"/>
      <c r="I11" s="198"/>
      <c r="J11" s="9"/>
    </row>
    <row r="12" spans="1:10" ht="12.75">
      <c r="A12" s="158">
        <v>7</v>
      </c>
      <c r="B12" s="155" t="s">
        <v>224</v>
      </c>
      <c r="C12" s="151">
        <v>526822.8729405005</v>
      </c>
      <c r="D12" s="152">
        <v>1635345.745881</v>
      </c>
      <c r="E12" s="162">
        <v>20</v>
      </c>
      <c r="F12" s="41"/>
      <c r="G12" s="34"/>
      <c r="H12" s="197"/>
      <c r="I12" s="198"/>
      <c r="J12" s="9"/>
    </row>
    <row r="13" spans="1:10" ht="12.75">
      <c r="A13" s="158">
        <v>8</v>
      </c>
      <c r="B13" s="155" t="s">
        <v>224</v>
      </c>
      <c r="C13" s="151">
        <v>602083.283360572</v>
      </c>
      <c r="D13" s="152">
        <v>1868966.5667211418</v>
      </c>
      <c r="E13" s="162">
        <v>20</v>
      </c>
      <c r="F13" s="41"/>
      <c r="G13" s="34"/>
      <c r="H13" s="197"/>
      <c r="I13" s="198"/>
      <c r="J13" s="9"/>
    </row>
    <row r="14" spans="1:10" ht="12.75">
      <c r="A14" s="158">
        <v>9</v>
      </c>
      <c r="B14" s="155" t="s">
        <v>224</v>
      </c>
      <c r="C14" s="28">
        <v>677344</v>
      </c>
      <c r="D14" s="152">
        <v>2102587.3875612835</v>
      </c>
      <c r="E14" s="162">
        <v>20</v>
      </c>
      <c r="F14" s="41"/>
      <c r="G14" s="41"/>
      <c r="H14" s="197"/>
      <c r="I14" s="198"/>
      <c r="J14" s="9"/>
    </row>
    <row r="15" spans="1:10" ht="12.75">
      <c r="A15" s="158">
        <v>10</v>
      </c>
      <c r="B15" s="164" t="s">
        <v>227</v>
      </c>
      <c r="C15" s="151">
        <v>1012046.3109164699</v>
      </c>
      <c r="D15" s="152">
        <v>1755864.8352830587</v>
      </c>
      <c r="E15" s="162">
        <v>20</v>
      </c>
      <c r="F15" s="199"/>
      <c r="G15" s="34"/>
      <c r="H15" s="197"/>
      <c r="I15" s="198"/>
      <c r="J15" s="9"/>
    </row>
    <row r="16" spans="1:10" ht="12.75">
      <c r="A16" s="158">
        <v>15</v>
      </c>
      <c r="B16" s="155" t="s">
        <v>224</v>
      </c>
      <c r="C16" s="151">
        <v>1128906.1563010723</v>
      </c>
      <c r="D16" s="152">
        <v>2526968.618821497</v>
      </c>
      <c r="E16" s="162">
        <v>20</v>
      </c>
      <c r="F16" s="41"/>
      <c r="G16" s="34"/>
      <c r="H16" s="197"/>
      <c r="I16" s="198"/>
      <c r="J16" s="9"/>
    </row>
    <row r="17" spans="1:10" ht="13.5" thickBot="1">
      <c r="A17" s="159">
        <v>20</v>
      </c>
      <c r="B17" s="156" t="s">
        <v>224</v>
      </c>
      <c r="C17" s="157">
        <v>1505208.20840143</v>
      </c>
      <c r="D17" s="160">
        <v>3469291.4917619964</v>
      </c>
      <c r="E17" s="163">
        <v>20</v>
      </c>
      <c r="F17" s="41"/>
      <c r="G17" s="34"/>
      <c r="H17" s="197"/>
      <c r="I17" s="198"/>
      <c r="J17" s="9"/>
    </row>
    <row r="18" spans="6:10" ht="12.75">
      <c r="F18" s="41"/>
      <c r="G18" s="41"/>
      <c r="H18" s="41"/>
      <c r="I18" s="9"/>
      <c r="J18" s="9"/>
    </row>
    <row r="19" ht="12.75">
      <c r="H19" s="41"/>
    </row>
    <row r="21" spans="4:12" ht="13.5" thickBot="1">
      <c r="D21"/>
      <c r="J21" s="175"/>
      <c r="K21" s="175"/>
      <c r="L21" s="175"/>
    </row>
    <row r="22" spans="1:12" ht="12.75">
      <c r="A22" s="204" t="s">
        <v>243</v>
      </c>
      <c r="B22" s="205"/>
      <c r="C22" s="205"/>
      <c r="D22" s="205"/>
      <c r="E22" s="205"/>
      <c r="F22" s="205"/>
      <c r="G22" s="205"/>
      <c r="H22" s="206"/>
      <c r="J22" s="175"/>
      <c r="K22" s="175"/>
      <c r="L22" s="175"/>
    </row>
    <row r="23" spans="1:12" ht="38.25">
      <c r="A23" s="153" t="s">
        <v>233</v>
      </c>
      <c r="B23" s="142" t="s">
        <v>221</v>
      </c>
      <c r="C23" s="142" t="s">
        <v>226</v>
      </c>
      <c r="D23" s="142" t="s">
        <v>229</v>
      </c>
      <c r="E23" s="142" t="s">
        <v>230</v>
      </c>
      <c r="F23" s="142" t="s">
        <v>232</v>
      </c>
      <c r="G23" s="142" t="s">
        <v>234</v>
      </c>
      <c r="H23" s="154" t="s">
        <v>237</v>
      </c>
      <c r="J23" s="175"/>
      <c r="K23" s="165"/>
      <c r="L23" s="165"/>
    </row>
    <row r="24" spans="1:12" ht="13.5" customHeight="1">
      <c r="A24" s="155">
        <v>5</v>
      </c>
      <c r="B24" s="166" t="s">
        <v>225</v>
      </c>
      <c r="C24" s="151">
        <v>420094.69509740267</v>
      </c>
      <c r="D24" s="152">
        <v>641099.4298522692</v>
      </c>
      <c r="E24" s="152">
        <f>35400*5</f>
        <v>177000</v>
      </c>
      <c r="F24" s="152">
        <f>SUM(D24:E24)</f>
        <v>818099.4298522692</v>
      </c>
      <c r="G24" s="152">
        <v>15</v>
      </c>
      <c r="H24" s="167" t="s">
        <v>238</v>
      </c>
      <c r="J24" s="175"/>
      <c r="K24" s="27"/>
      <c r="L24" s="176"/>
    </row>
    <row r="25" spans="1:12" ht="13.5" thickBot="1">
      <c r="A25" s="179">
        <v>5</v>
      </c>
      <c r="B25" s="180" t="s">
        <v>224</v>
      </c>
      <c r="C25" s="181">
        <v>376302.0521003575</v>
      </c>
      <c r="D25" s="182">
        <v>810617.1547053742</v>
      </c>
      <c r="E25" s="182">
        <v>0</v>
      </c>
      <c r="F25" s="182">
        <f>SUM(D25:E25)</f>
        <v>810617.1547053742</v>
      </c>
      <c r="G25" s="182">
        <v>15</v>
      </c>
      <c r="H25" s="183" t="s">
        <v>239</v>
      </c>
      <c r="J25" s="175"/>
      <c r="K25" s="175"/>
      <c r="L25" s="175"/>
    </row>
    <row r="26" spans="1:12" s="46" customFormat="1" ht="13.5" thickTop="1">
      <c r="A26" s="191" t="s">
        <v>231</v>
      </c>
      <c r="B26" s="168"/>
      <c r="C26" s="186">
        <f>C24-C25</f>
        <v>43792.642997045186</v>
      </c>
      <c r="D26" s="187"/>
      <c r="E26" s="168"/>
      <c r="F26" s="187">
        <f>F24-F25</f>
        <v>7482.275146895088</v>
      </c>
      <c r="G26" s="187"/>
      <c r="H26" s="190"/>
      <c r="J26" s="177"/>
      <c r="K26" s="177"/>
      <c r="L26" s="177"/>
    </row>
    <row r="27" spans="1:12" s="46" customFormat="1" ht="13.5" thickBot="1">
      <c r="A27" s="189" t="s">
        <v>236</v>
      </c>
      <c r="B27" s="171"/>
      <c r="C27" s="172">
        <f>0.57*C26</f>
        <v>24961.806508315753</v>
      </c>
      <c r="D27" s="173"/>
      <c r="E27" s="171"/>
      <c r="F27" s="173"/>
      <c r="G27" s="173"/>
      <c r="H27" s="174"/>
      <c r="J27" s="177"/>
      <c r="K27" s="177"/>
      <c r="L27" s="177"/>
    </row>
    <row r="28" spans="1:12" s="46" customFormat="1" ht="12.75">
      <c r="A28" s="168"/>
      <c r="B28" s="168"/>
      <c r="C28" s="186"/>
      <c r="D28" s="187"/>
      <c r="E28" s="168"/>
      <c r="F28" s="187"/>
      <c r="G28" s="168"/>
      <c r="H28" s="149"/>
      <c r="J28" s="177"/>
      <c r="K28" s="177"/>
      <c r="L28" s="177"/>
    </row>
    <row r="29" spans="1:12" s="46" customFormat="1" ht="12.75">
      <c r="A29" s="168"/>
      <c r="B29" s="168"/>
      <c r="C29" s="186"/>
      <c r="D29" s="187"/>
      <c r="E29" s="168"/>
      <c r="F29" s="187"/>
      <c r="G29" s="168"/>
      <c r="H29" s="149"/>
      <c r="J29" s="177"/>
      <c r="K29" s="177"/>
      <c r="L29" s="177"/>
    </row>
    <row r="30" spans="1:12" s="46" customFormat="1" ht="12.75">
      <c r="A30" s="168"/>
      <c r="B30" s="168"/>
      <c r="C30" s="186"/>
      <c r="D30" s="187"/>
      <c r="E30" s="168"/>
      <c r="F30" s="187"/>
      <c r="G30" s="168"/>
      <c r="H30" s="149"/>
      <c r="J30" s="177"/>
      <c r="K30" s="177"/>
      <c r="L30" s="177"/>
    </row>
    <row r="31" ht="13.5" thickBot="1"/>
    <row r="32" spans="1:7" ht="12.75">
      <c r="A32" s="204" t="s">
        <v>243</v>
      </c>
      <c r="B32" s="205"/>
      <c r="C32" s="205"/>
      <c r="D32" s="205"/>
      <c r="E32" s="205"/>
      <c r="F32" s="206"/>
      <c r="G32" s="13"/>
    </row>
    <row r="33" spans="1:12" ht="51">
      <c r="A33" s="153" t="s">
        <v>233</v>
      </c>
      <c r="B33" s="142" t="s">
        <v>221</v>
      </c>
      <c r="C33" s="142" t="s">
        <v>226</v>
      </c>
      <c r="D33" s="142" t="s">
        <v>229</v>
      </c>
      <c r="E33" s="142" t="s">
        <v>234</v>
      </c>
      <c r="F33" s="154" t="s">
        <v>240</v>
      </c>
      <c r="G33" s="165"/>
      <c r="J33" s="175"/>
      <c r="K33" s="165"/>
      <c r="L33" s="165"/>
    </row>
    <row r="34" spans="1:12" ht="12.75">
      <c r="A34" s="155">
        <v>5</v>
      </c>
      <c r="B34" s="166" t="s">
        <v>225</v>
      </c>
      <c r="C34" s="151">
        <f>'Scaled, Option 1'!B32</f>
        <v>376302.0521003575</v>
      </c>
      <c r="D34" s="152" t="e">
        <f>'Scaled, Option 1'!#REF!</f>
        <v>#REF!</v>
      </c>
      <c r="E34" s="194">
        <v>10</v>
      </c>
      <c r="F34" s="192" t="s">
        <v>241</v>
      </c>
      <c r="G34" s="184"/>
      <c r="J34" s="175"/>
      <c r="K34" s="27"/>
      <c r="L34" s="176"/>
    </row>
    <row r="35" spans="1:12" ht="13.5" thickBot="1">
      <c r="A35" s="179">
        <v>5</v>
      </c>
      <c r="B35" s="180" t="s">
        <v>225</v>
      </c>
      <c r="C35" s="181">
        <v>420094.69509740267</v>
      </c>
      <c r="D35" s="182">
        <v>679767.2592502167</v>
      </c>
      <c r="E35" s="195">
        <v>10</v>
      </c>
      <c r="F35" s="193" t="s">
        <v>242</v>
      </c>
      <c r="G35" s="184"/>
      <c r="J35" s="175"/>
      <c r="K35" s="175"/>
      <c r="L35" s="175"/>
    </row>
    <row r="36" spans="1:12" s="46" customFormat="1" ht="14.25" thickBot="1" thickTop="1">
      <c r="A36" s="170"/>
      <c r="B36" s="171"/>
      <c r="C36" s="172">
        <f>C34-C35</f>
        <v>-43792.642997045186</v>
      </c>
      <c r="D36" s="173" t="e">
        <f>D34-D35</f>
        <v>#REF!</v>
      </c>
      <c r="E36" s="173"/>
      <c r="F36" s="174"/>
      <c r="G36" s="185"/>
      <c r="H36" s="149"/>
      <c r="J36" s="177"/>
      <c r="K36" s="177"/>
      <c r="L36" s="177"/>
    </row>
    <row r="37" ht="12.75">
      <c r="G37" s="13"/>
    </row>
    <row r="40" ht="12.75">
      <c r="A40" s="178" t="s">
        <v>235</v>
      </c>
    </row>
    <row r="41" spans="1:5" ht="13.5" thickBot="1">
      <c r="A41" s="178"/>
      <c r="D41" s="41"/>
      <c r="E41" s="41"/>
    </row>
    <row r="42" spans="2:5" ht="12.75">
      <c r="B42" s="200"/>
      <c r="C42" s="201"/>
      <c r="D42" s="41"/>
      <c r="E42" s="41"/>
    </row>
    <row r="43" spans="1:5" ht="25.5">
      <c r="A43" s="142" t="s">
        <v>233</v>
      </c>
      <c r="B43" s="142" t="s">
        <v>221</v>
      </c>
      <c r="C43" s="142" t="s">
        <v>228</v>
      </c>
      <c r="D43" s="13"/>
      <c r="E43" s="13"/>
    </row>
    <row r="44" spans="1:5" ht="12.75">
      <c r="A44" s="28">
        <v>1</v>
      </c>
      <c r="B44" s="28" t="s">
        <v>225</v>
      </c>
      <c r="C44" s="28">
        <v>15</v>
      </c>
      <c r="D44" s="165"/>
      <c r="E44" s="165"/>
    </row>
    <row r="45" spans="1:5" ht="12.75">
      <c r="A45" s="28">
        <v>5</v>
      </c>
      <c r="B45" s="28" t="s">
        <v>225</v>
      </c>
      <c r="C45" s="28">
        <v>15</v>
      </c>
      <c r="D45" s="41"/>
      <c r="E45" s="41"/>
    </row>
    <row r="46" spans="1:3" ht="12.75">
      <c r="A46" s="28">
        <v>10</v>
      </c>
      <c r="B46" s="28" t="s">
        <v>224</v>
      </c>
      <c r="C46" s="28">
        <v>15</v>
      </c>
    </row>
    <row r="47" spans="1:3" ht="12.75">
      <c r="A47" s="28">
        <v>15</v>
      </c>
      <c r="B47" s="28" t="s">
        <v>224</v>
      </c>
      <c r="C47" s="28">
        <v>15</v>
      </c>
    </row>
    <row r="48" spans="1:3" ht="12.75">
      <c r="A48" s="28">
        <v>1</v>
      </c>
      <c r="B48" s="28" t="s">
        <v>224</v>
      </c>
      <c r="C48" s="28">
        <v>20</v>
      </c>
    </row>
  </sheetData>
  <mergeCells count="5">
    <mergeCell ref="B42:C42"/>
    <mergeCell ref="F4:I4"/>
    <mergeCell ref="A22:H22"/>
    <mergeCell ref="A32:F32"/>
    <mergeCell ref="A4:E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90"/>
  <sheetViews>
    <sheetView zoomScale="85" zoomScaleNormal="85" workbookViewId="0" topLeftCell="A1">
      <pane ySplit="10" topLeftCell="BM47" activePane="bottomLeft" state="frozen"/>
      <selection pane="topLeft" activeCell="B1" sqref="B1"/>
      <selection pane="bottomLeft" activeCell="C41" sqref="C41"/>
    </sheetView>
  </sheetViews>
  <sheetFormatPr defaultColWidth="9.140625" defaultRowHeight="12.75"/>
  <cols>
    <col min="1" max="1" width="29.421875" style="0" customWidth="1"/>
    <col min="2" max="2" width="10.8515625" style="0" customWidth="1"/>
    <col min="4" max="4" width="11.7109375" style="0" bestFit="1" customWidth="1"/>
    <col min="6" max="6" width="15.140625" style="0" customWidth="1"/>
    <col min="8" max="8" width="11.28125" style="0" bestFit="1" customWidth="1"/>
    <col min="12" max="12" width="11.00390625" style="0" customWidth="1"/>
  </cols>
  <sheetData>
    <row r="1" ht="13.5" thickBot="1">
      <c r="A1" s="1"/>
    </row>
    <row r="2" spans="1:12" ht="12.75">
      <c r="A2" s="2" t="s">
        <v>0</v>
      </c>
      <c r="C2" s="2"/>
      <c r="I2" s="3"/>
      <c r="J2" s="4" t="s">
        <v>1</v>
      </c>
      <c r="K2" s="4"/>
      <c r="L2" s="5"/>
    </row>
    <row r="3" spans="1:12" ht="15.75">
      <c r="A3" s="6" t="s">
        <v>2</v>
      </c>
      <c r="B3" s="7">
        <v>750</v>
      </c>
      <c r="D3" s="92"/>
      <c r="I3" s="8"/>
      <c r="J3" s="9" t="s">
        <v>3</v>
      </c>
      <c r="K3" s="9"/>
      <c r="L3" s="10"/>
    </row>
    <row r="4" spans="1:12" ht="12.75">
      <c r="A4" s="6" t="s">
        <v>4</v>
      </c>
      <c r="B4" s="7">
        <v>5</v>
      </c>
      <c r="I4" s="11"/>
      <c r="J4" s="9" t="s">
        <v>5</v>
      </c>
      <c r="K4" s="9"/>
      <c r="L4" s="10"/>
    </row>
    <row r="5" spans="1:12" ht="12.75">
      <c r="A5" s="1"/>
      <c r="I5" s="12"/>
      <c r="J5" s="9" t="s">
        <v>6</v>
      </c>
      <c r="K5" s="9"/>
      <c r="L5" s="10"/>
    </row>
    <row r="6" spans="1:12" ht="13.5" thickBot="1">
      <c r="A6" s="6"/>
      <c r="B6" s="13"/>
      <c r="I6" s="14"/>
      <c r="J6" s="15" t="s">
        <v>7</v>
      </c>
      <c r="K6" s="15"/>
      <c r="L6" s="16"/>
    </row>
    <row r="7" ht="12.75">
      <c r="A7" s="6"/>
    </row>
    <row r="8" spans="1:27" ht="12.75">
      <c r="A8" s="6"/>
      <c r="B8" s="207" t="s">
        <v>8</v>
      </c>
      <c r="C8" s="17" t="s">
        <v>9</v>
      </c>
      <c r="D8" s="17" t="s">
        <v>9</v>
      </c>
      <c r="E8" s="17" t="s">
        <v>9</v>
      </c>
      <c r="F8" s="17" t="s">
        <v>9</v>
      </c>
      <c r="G8" s="17" t="s">
        <v>9</v>
      </c>
      <c r="H8" s="17" t="s">
        <v>10</v>
      </c>
      <c r="I8" s="17" t="s">
        <v>10</v>
      </c>
      <c r="J8" s="17" t="s">
        <v>10</v>
      </c>
      <c r="K8" s="17" t="s">
        <v>10</v>
      </c>
      <c r="L8" s="17" t="s">
        <v>10</v>
      </c>
      <c r="M8" s="17" t="s">
        <v>11</v>
      </c>
      <c r="N8" s="17" t="s">
        <v>11</v>
      </c>
      <c r="O8" s="17" t="s">
        <v>11</v>
      </c>
      <c r="P8" s="17" t="s">
        <v>11</v>
      </c>
      <c r="Q8" s="17" t="s">
        <v>11</v>
      </c>
      <c r="R8" s="17" t="s">
        <v>12</v>
      </c>
      <c r="S8" s="17" t="s">
        <v>12</v>
      </c>
      <c r="T8" s="17" t="s">
        <v>12</v>
      </c>
      <c r="U8" s="17" t="s">
        <v>12</v>
      </c>
      <c r="V8" s="17" t="s">
        <v>12</v>
      </c>
      <c r="W8" s="17" t="s">
        <v>13</v>
      </c>
      <c r="X8" s="17" t="s">
        <v>13</v>
      </c>
      <c r="Y8" s="17" t="s">
        <v>13</v>
      </c>
      <c r="Z8" s="17" t="s">
        <v>13</v>
      </c>
      <c r="AA8" s="17" t="s">
        <v>13</v>
      </c>
    </row>
    <row r="9" spans="1:27" ht="12.75">
      <c r="A9" s="6"/>
      <c r="B9" s="207"/>
      <c r="C9" s="17" t="s">
        <v>14</v>
      </c>
      <c r="D9" s="17" t="s">
        <v>15</v>
      </c>
      <c r="E9" s="17" t="s">
        <v>16</v>
      </c>
      <c r="F9" s="17" t="s">
        <v>17</v>
      </c>
      <c r="G9" s="17" t="s">
        <v>18</v>
      </c>
      <c r="H9" s="17" t="s">
        <v>14</v>
      </c>
      <c r="I9" s="17" t="s">
        <v>15</v>
      </c>
      <c r="J9" s="17" t="s">
        <v>16</v>
      </c>
      <c r="K9" s="17" t="s">
        <v>17</v>
      </c>
      <c r="L9" s="17" t="s">
        <v>18</v>
      </c>
      <c r="M9" s="17" t="s">
        <v>14</v>
      </c>
      <c r="N9" s="17" t="s">
        <v>15</v>
      </c>
      <c r="O9" s="17" t="s">
        <v>16</v>
      </c>
      <c r="P9" s="17" t="s">
        <v>17</v>
      </c>
      <c r="Q9" s="17" t="s">
        <v>18</v>
      </c>
      <c r="R9" s="17" t="s">
        <v>14</v>
      </c>
      <c r="S9" s="17" t="s">
        <v>15</v>
      </c>
      <c r="T9" s="17" t="s">
        <v>16</v>
      </c>
      <c r="U9" s="17" t="s">
        <v>17</v>
      </c>
      <c r="V9" s="17" t="s">
        <v>18</v>
      </c>
      <c r="W9" s="17" t="s">
        <v>14</v>
      </c>
      <c r="X9" s="17" t="s">
        <v>15</v>
      </c>
      <c r="Y9" s="17" t="s">
        <v>16</v>
      </c>
      <c r="Z9" s="17" t="s">
        <v>17</v>
      </c>
      <c r="AA9" s="17" t="s">
        <v>18</v>
      </c>
    </row>
    <row r="10" spans="1:27" ht="15.75">
      <c r="A10" s="6"/>
      <c r="B10" s="18" t="s">
        <v>19</v>
      </c>
      <c r="C10" s="19">
        <v>0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</row>
    <row r="11" spans="1:27" ht="41.25">
      <c r="A11" s="6"/>
      <c r="B11" s="22" t="s">
        <v>20</v>
      </c>
      <c r="C11" s="20">
        <v>0.72</v>
      </c>
      <c r="D11" s="20">
        <v>0.72</v>
      </c>
      <c r="E11" s="20">
        <v>0.72</v>
      </c>
      <c r="F11" s="20">
        <v>0.72</v>
      </c>
      <c r="G11" s="20">
        <v>0.72</v>
      </c>
      <c r="H11" s="20">
        <v>0.7</v>
      </c>
      <c r="I11" s="20">
        <v>0.7</v>
      </c>
      <c r="J11" s="20">
        <v>0.7</v>
      </c>
      <c r="K11" s="20">
        <v>0.7</v>
      </c>
      <c r="L11" s="20">
        <v>0.7</v>
      </c>
      <c r="M11" s="20">
        <v>0.69</v>
      </c>
      <c r="N11" s="20">
        <v>0.69</v>
      </c>
      <c r="O11" s="20">
        <v>0.69</v>
      </c>
      <c r="P11" s="20">
        <v>0.69</v>
      </c>
      <c r="Q11" s="20">
        <v>0.69</v>
      </c>
      <c r="R11" s="20">
        <v>0.67</v>
      </c>
      <c r="S11" s="20">
        <v>0.67</v>
      </c>
      <c r="T11" s="20">
        <v>0.67</v>
      </c>
      <c r="U11" s="20">
        <v>0.67</v>
      </c>
      <c r="V11" s="20">
        <v>0.67</v>
      </c>
      <c r="W11" s="20">
        <v>0.65</v>
      </c>
      <c r="X11" s="20">
        <v>0.65</v>
      </c>
      <c r="Y11" s="20">
        <v>0.65</v>
      </c>
      <c r="Z11" s="20">
        <v>0.65</v>
      </c>
      <c r="AA11" s="20">
        <v>0.65</v>
      </c>
    </row>
    <row r="12" spans="1:27" ht="41.25">
      <c r="A12" s="6"/>
      <c r="B12" s="22" t="s">
        <v>21</v>
      </c>
      <c r="C12" s="21">
        <f>M20</f>
        <v>0.89</v>
      </c>
      <c r="D12" s="21">
        <f>C12</f>
        <v>0.89</v>
      </c>
      <c r="E12" s="21">
        <f>D12</f>
        <v>0.89</v>
      </c>
      <c r="F12" s="21">
        <f>E12</f>
        <v>0.89</v>
      </c>
      <c r="G12" s="21">
        <f>F12</f>
        <v>0.89</v>
      </c>
      <c r="H12" s="21">
        <f>M21</f>
        <v>0.88</v>
      </c>
      <c r="I12" s="21">
        <f>H12</f>
        <v>0.88</v>
      </c>
      <c r="J12" s="21">
        <f>I12</f>
        <v>0.88</v>
      </c>
      <c r="K12" s="21">
        <f>J12</f>
        <v>0.88</v>
      </c>
      <c r="L12" s="21">
        <f>K12</f>
        <v>0.88</v>
      </c>
      <c r="M12" s="21">
        <f>M22</f>
        <v>0.87</v>
      </c>
      <c r="N12" s="21">
        <f>M12</f>
        <v>0.87</v>
      </c>
      <c r="O12" s="21">
        <f>N12</f>
        <v>0.87</v>
      </c>
      <c r="P12" s="21">
        <f>O12</f>
        <v>0.87</v>
      </c>
      <c r="Q12" s="21">
        <f>P12</f>
        <v>0.87</v>
      </c>
      <c r="R12" s="21">
        <f>M23</f>
        <v>0.88</v>
      </c>
      <c r="S12" s="21">
        <f>R12</f>
        <v>0.88</v>
      </c>
      <c r="T12" s="21">
        <f>S12</f>
        <v>0.88</v>
      </c>
      <c r="U12" s="21">
        <f>T12</f>
        <v>0.88</v>
      </c>
      <c r="V12" s="21">
        <f>U12</f>
        <v>0.88</v>
      </c>
      <c r="W12" s="21">
        <f>M24</f>
        <v>0.88</v>
      </c>
      <c r="X12" s="21">
        <f aca="true" t="shared" si="0" ref="X12:AA13">W12</f>
        <v>0.88</v>
      </c>
      <c r="Y12" s="21">
        <f t="shared" si="0"/>
        <v>0.88</v>
      </c>
      <c r="Z12" s="21">
        <f t="shared" si="0"/>
        <v>0.88</v>
      </c>
      <c r="AA12" s="21">
        <f t="shared" si="0"/>
        <v>0.88</v>
      </c>
    </row>
    <row r="13" spans="1:27" ht="41.25">
      <c r="A13" s="6"/>
      <c r="B13" s="22" t="s">
        <v>22</v>
      </c>
      <c r="C13" s="21">
        <f>$K$20</f>
        <v>42</v>
      </c>
      <c r="D13" s="21">
        <f>$K$20</f>
        <v>42</v>
      </c>
      <c r="E13" s="21">
        <f>$K$20</f>
        <v>42</v>
      </c>
      <c r="F13" s="21">
        <f>$K$20</f>
        <v>42</v>
      </c>
      <c r="G13" s="21">
        <f>$K$20</f>
        <v>42</v>
      </c>
      <c r="H13" s="21">
        <f>$K$21</f>
        <v>57</v>
      </c>
      <c r="I13" s="21">
        <f>$K$21</f>
        <v>57</v>
      </c>
      <c r="J13" s="21">
        <f>$K$21</f>
        <v>57</v>
      </c>
      <c r="K13" s="21">
        <f>$K$21</f>
        <v>57</v>
      </c>
      <c r="L13" s="21">
        <f>$K$21</f>
        <v>57</v>
      </c>
      <c r="M13" s="21">
        <f>$K$22</f>
        <v>60</v>
      </c>
      <c r="N13" s="21">
        <f>$K$22</f>
        <v>60</v>
      </c>
      <c r="O13" s="21">
        <f>$K$22</f>
        <v>60</v>
      </c>
      <c r="P13" s="21">
        <f>$K$22</f>
        <v>60</v>
      </c>
      <c r="Q13" s="21">
        <f>$K$22</f>
        <v>60</v>
      </c>
      <c r="R13" s="21">
        <f>$K$23</f>
        <v>65</v>
      </c>
      <c r="S13" s="21">
        <f>$K$23</f>
        <v>65</v>
      </c>
      <c r="T13" s="21">
        <f>$K$23</f>
        <v>65</v>
      </c>
      <c r="U13" s="21">
        <f>$K$23</f>
        <v>65</v>
      </c>
      <c r="V13" s="21">
        <f>$K$23</f>
        <v>65</v>
      </c>
      <c r="W13" s="21">
        <f>K24</f>
        <v>92</v>
      </c>
      <c r="X13" s="21">
        <f t="shared" si="0"/>
        <v>92</v>
      </c>
      <c r="Y13" s="21">
        <f t="shared" si="0"/>
        <v>92</v>
      </c>
      <c r="Z13" s="21">
        <f t="shared" si="0"/>
        <v>92</v>
      </c>
      <c r="AA13" s="21">
        <f t="shared" si="0"/>
        <v>92</v>
      </c>
    </row>
    <row r="14" spans="1:27" ht="41.25">
      <c r="A14" s="6"/>
      <c r="B14" s="22" t="s">
        <v>23</v>
      </c>
      <c r="C14" s="23">
        <f>$E$20</f>
        <v>356</v>
      </c>
      <c r="D14" s="23">
        <f>$E$21</f>
        <v>90</v>
      </c>
      <c r="E14" s="23">
        <f>$E$22</f>
        <v>53</v>
      </c>
      <c r="F14" s="23">
        <f>$E$23</f>
        <v>44</v>
      </c>
      <c r="G14" s="23">
        <f>$E$24</f>
        <v>41</v>
      </c>
      <c r="H14" s="23">
        <f>$E$20</f>
        <v>356</v>
      </c>
      <c r="I14" s="23">
        <f>$E$21</f>
        <v>90</v>
      </c>
      <c r="J14" s="23">
        <f>$E$22</f>
        <v>53</v>
      </c>
      <c r="K14" s="23">
        <f>$E$23</f>
        <v>44</v>
      </c>
      <c r="L14" s="23">
        <f>$E$24</f>
        <v>41</v>
      </c>
      <c r="M14" s="23">
        <f>$E$20</f>
        <v>356</v>
      </c>
      <c r="N14" s="23">
        <f>$E$21</f>
        <v>90</v>
      </c>
      <c r="O14" s="23">
        <f>$E$22</f>
        <v>53</v>
      </c>
      <c r="P14" s="23">
        <f>$E$23</f>
        <v>44</v>
      </c>
      <c r="Q14" s="23">
        <f>$E$24</f>
        <v>41</v>
      </c>
      <c r="R14" s="23">
        <f>$E$20</f>
        <v>356</v>
      </c>
      <c r="S14" s="23">
        <f>$E$21</f>
        <v>90</v>
      </c>
      <c r="T14" s="23">
        <f>$E$22</f>
        <v>53</v>
      </c>
      <c r="U14" s="23">
        <f>$E$23</f>
        <v>44</v>
      </c>
      <c r="V14" s="23">
        <f>$E$24</f>
        <v>41</v>
      </c>
      <c r="W14" s="23">
        <f>$E$20</f>
        <v>356</v>
      </c>
      <c r="X14" s="23">
        <f>$E$21</f>
        <v>90</v>
      </c>
      <c r="Y14" s="23">
        <f>$E$22</f>
        <v>53</v>
      </c>
      <c r="Z14" s="23">
        <f>$E$23</f>
        <v>44</v>
      </c>
      <c r="AA14" s="23">
        <f>$E$24</f>
        <v>41</v>
      </c>
    </row>
    <row r="15" spans="1:27" ht="57">
      <c r="A15" s="6"/>
      <c r="B15" s="22" t="s">
        <v>24</v>
      </c>
      <c r="C15" s="24">
        <f aca="true" t="shared" si="1" ref="C15:AA15">(C14*$B$3)/(33000*C11)*8.34</f>
        <v>93.71969696969697</v>
      </c>
      <c r="D15" s="24">
        <f t="shared" si="1"/>
        <v>23.693181818181817</v>
      </c>
      <c r="E15" s="24">
        <f t="shared" si="1"/>
        <v>13.952651515151516</v>
      </c>
      <c r="F15" s="24">
        <f t="shared" si="1"/>
        <v>11.583333333333332</v>
      </c>
      <c r="G15" s="24">
        <f t="shared" si="1"/>
        <v>10.793560606060606</v>
      </c>
      <c r="H15" s="24">
        <f t="shared" si="1"/>
        <v>96.39740259740259</v>
      </c>
      <c r="I15" s="24">
        <f t="shared" si="1"/>
        <v>24.370129870129873</v>
      </c>
      <c r="J15" s="24">
        <f t="shared" si="1"/>
        <v>14.3512987012987</v>
      </c>
      <c r="K15" s="24">
        <f t="shared" si="1"/>
        <v>11.914285714285715</v>
      </c>
      <c r="L15" s="24">
        <f t="shared" si="1"/>
        <v>11.101948051948051</v>
      </c>
      <c r="M15" s="24">
        <f t="shared" si="1"/>
        <v>97.79446640316206</v>
      </c>
      <c r="N15" s="24">
        <f t="shared" si="1"/>
        <v>24.72332015810277</v>
      </c>
      <c r="O15" s="24">
        <f t="shared" si="1"/>
        <v>14.559288537549408</v>
      </c>
      <c r="P15" s="24">
        <f t="shared" si="1"/>
        <v>12.08695652173913</v>
      </c>
      <c r="Q15" s="24">
        <f t="shared" si="1"/>
        <v>11.262845849802371</v>
      </c>
      <c r="R15" s="24">
        <f t="shared" si="1"/>
        <v>100.71370420624152</v>
      </c>
      <c r="S15" s="24">
        <f t="shared" si="1"/>
        <v>25.46132971506106</v>
      </c>
      <c r="T15" s="24">
        <f t="shared" si="1"/>
        <v>14.993894165535956</v>
      </c>
      <c r="U15" s="24">
        <f t="shared" si="1"/>
        <v>12.447761194029852</v>
      </c>
      <c r="V15" s="24">
        <f t="shared" si="1"/>
        <v>11.599050203527815</v>
      </c>
      <c r="W15" s="24">
        <f t="shared" si="1"/>
        <v>103.81258741258742</v>
      </c>
      <c r="X15" s="24">
        <f t="shared" si="1"/>
        <v>26.244755244755243</v>
      </c>
      <c r="Y15" s="24">
        <f t="shared" si="1"/>
        <v>15.455244755244754</v>
      </c>
      <c r="Z15" s="24">
        <f t="shared" si="1"/>
        <v>12.830769230769231</v>
      </c>
      <c r="AA15" s="24">
        <f t="shared" si="1"/>
        <v>11.955944055944055</v>
      </c>
    </row>
    <row r="16" spans="1:27" ht="41.25">
      <c r="A16" s="6"/>
      <c r="B16" s="22" t="s">
        <v>25</v>
      </c>
      <c r="C16" s="24">
        <f aca="true" t="shared" si="2" ref="C16:AA16">C15*0.7457/C12</f>
        <v>78.5244696969697</v>
      </c>
      <c r="D16" s="24">
        <f t="shared" si="2"/>
        <v>19.851691777323797</v>
      </c>
      <c r="E16" s="24">
        <f t="shared" si="2"/>
        <v>11.690440713312904</v>
      </c>
      <c r="F16" s="24">
        <f t="shared" si="2"/>
        <v>9.705271535580524</v>
      </c>
      <c r="G16" s="24">
        <f t="shared" si="2"/>
        <v>9.043548476336397</v>
      </c>
      <c r="H16" s="24">
        <f t="shared" si="2"/>
        <v>81.68584445100355</v>
      </c>
      <c r="I16" s="24">
        <f t="shared" si="2"/>
        <v>20.65091573199528</v>
      </c>
      <c r="J16" s="24">
        <f t="shared" si="2"/>
        <v>12.161094819952774</v>
      </c>
      <c r="K16" s="24">
        <f t="shared" si="2"/>
        <v>10.096003246753249</v>
      </c>
      <c r="L16" s="24">
        <f t="shared" si="2"/>
        <v>9.407639389020071</v>
      </c>
      <c r="M16" s="24">
        <f t="shared" si="2"/>
        <v>83.8222225251011</v>
      </c>
      <c r="N16" s="24">
        <f t="shared" si="2"/>
        <v>21.191011312525557</v>
      </c>
      <c r="O16" s="24">
        <f t="shared" si="2"/>
        <v>12.47915110626505</v>
      </c>
      <c r="P16" s="24">
        <f t="shared" si="2"/>
        <v>10.360049975012494</v>
      </c>
      <c r="Q16" s="24">
        <f t="shared" si="2"/>
        <v>9.653682931261642</v>
      </c>
      <c r="R16" s="24">
        <f t="shared" si="2"/>
        <v>85.34341957567534</v>
      </c>
      <c r="S16" s="24">
        <f t="shared" si="2"/>
        <v>21.575583600592083</v>
      </c>
      <c r="T16" s="24">
        <f t="shared" si="2"/>
        <v>12.705621453682003</v>
      </c>
      <c r="U16" s="24">
        <f t="shared" si="2"/>
        <v>10.548063093622797</v>
      </c>
      <c r="V16" s="24">
        <f t="shared" si="2"/>
        <v>9.828876973603059</v>
      </c>
      <c r="W16" s="24">
        <f t="shared" si="2"/>
        <v>87.96937094723458</v>
      </c>
      <c r="X16" s="24">
        <f t="shared" si="2"/>
        <v>22.23944771137953</v>
      </c>
      <c r="Y16" s="24">
        <f t="shared" si="2"/>
        <v>13.096563652256833</v>
      </c>
      <c r="Z16" s="24">
        <f t="shared" si="2"/>
        <v>10.872618881118882</v>
      </c>
      <c r="AA16" s="24">
        <f t="shared" si="2"/>
        <v>10.13130395740623</v>
      </c>
    </row>
    <row r="17" spans="1:27" ht="12.7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2.75">
      <c r="A18" s="25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54">
      <c r="A19" s="25"/>
      <c r="B19" s="22" t="s">
        <v>26</v>
      </c>
      <c r="C19" s="28" t="s">
        <v>27</v>
      </c>
      <c r="D19" s="29" t="s">
        <v>28</v>
      </c>
      <c r="E19" s="29" t="s">
        <v>23</v>
      </c>
      <c r="F19" s="28" t="s">
        <v>29</v>
      </c>
      <c r="H19" s="22" t="s">
        <v>30</v>
      </c>
      <c r="I19" s="28" t="s">
        <v>31</v>
      </c>
      <c r="J19" s="29" t="s">
        <v>28</v>
      </c>
      <c r="K19" s="29" t="s">
        <v>22</v>
      </c>
      <c r="L19" s="29" t="s">
        <v>29</v>
      </c>
      <c r="M19" s="29" t="s">
        <v>32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2.75">
      <c r="A20" s="25"/>
      <c r="B20" s="18">
        <v>4</v>
      </c>
      <c r="C20" s="28" t="s">
        <v>14</v>
      </c>
      <c r="D20" s="30">
        <f>C10+H10+M10+R10+W10</f>
        <v>0</v>
      </c>
      <c r="E20" s="23">
        <v>356</v>
      </c>
      <c r="F20" s="78">
        <v>15000</v>
      </c>
      <c r="G20" s="32"/>
      <c r="H20" s="18">
        <v>12</v>
      </c>
      <c r="I20" s="28" t="s">
        <v>9</v>
      </c>
      <c r="J20" s="30">
        <f>SUM(C10:G10)</f>
        <v>1</v>
      </c>
      <c r="K20" s="21">
        <v>42</v>
      </c>
      <c r="L20" s="78">
        <v>32100</v>
      </c>
      <c r="M20" s="21">
        <v>0.89</v>
      </c>
      <c r="N20" s="27"/>
      <c r="O20" s="78">
        <v>32100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2.75">
      <c r="A21" s="25"/>
      <c r="B21" s="18">
        <v>6</v>
      </c>
      <c r="C21" s="28" t="s">
        <v>15</v>
      </c>
      <c r="D21" s="30">
        <f>D10+I10+N10+S10+X10</f>
        <v>0</v>
      </c>
      <c r="E21" s="23">
        <v>90</v>
      </c>
      <c r="F21" s="78">
        <v>19500</v>
      </c>
      <c r="G21" s="32"/>
      <c r="H21" s="18">
        <v>18</v>
      </c>
      <c r="I21" s="28" t="s">
        <v>10</v>
      </c>
      <c r="J21" s="30">
        <f>SUM(H10:L10)</f>
        <v>0</v>
      </c>
      <c r="K21" s="21">
        <v>57</v>
      </c>
      <c r="L21" s="78">
        <v>35400</v>
      </c>
      <c r="M21" s="21">
        <v>0.88</v>
      </c>
      <c r="N21" s="27"/>
      <c r="O21" s="78">
        <v>35400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2.75">
      <c r="A22" s="25"/>
      <c r="B22" s="18">
        <v>8</v>
      </c>
      <c r="C22" s="28" t="s">
        <v>16</v>
      </c>
      <c r="D22" s="30">
        <f>E10+J10+O10+T10+Y10</f>
        <v>0</v>
      </c>
      <c r="E22" s="23">
        <v>53</v>
      </c>
      <c r="F22" s="78">
        <v>28500</v>
      </c>
      <c r="G22" s="32"/>
      <c r="H22" s="18">
        <v>20</v>
      </c>
      <c r="I22" s="28" t="s">
        <v>11</v>
      </c>
      <c r="J22" s="30">
        <f>SUM(M10:Q10)</f>
        <v>0</v>
      </c>
      <c r="K22" s="21">
        <v>60</v>
      </c>
      <c r="L22" s="78">
        <v>49100</v>
      </c>
      <c r="M22" s="21">
        <v>0.87</v>
      </c>
      <c r="N22" s="27"/>
      <c r="O22" s="78">
        <v>49100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2.75">
      <c r="A23" s="25"/>
      <c r="B23" s="18">
        <v>10</v>
      </c>
      <c r="C23" s="28" t="s">
        <v>17</v>
      </c>
      <c r="D23" s="30">
        <f>F10+K10+P10+U10+Z10</f>
        <v>0</v>
      </c>
      <c r="E23" s="23">
        <v>44</v>
      </c>
      <c r="F23" s="78">
        <v>40000</v>
      </c>
      <c r="G23" s="32"/>
      <c r="H23" s="18">
        <v>25</v>
      </c>
      <c r="I23" s="28" t="s">
        <v>12</v>
      </c>
      <c r="J23" s="30">
        <f>SUM(R10:V10)</f>
        <v>0</v>
      </c>
      <c r="K23" s="21">
        <v>65</v>
      </c>
      <c r="L23" s="78">
        <v>49100</v>
      </c>
      <c r="M23" s="21">
        <v>0.88</v>
      </c>
      <c r="N23" s="27"/>
      <c r="O23" s="78">
        <v>49100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2.75">
      <c r="A24" s="25"/>
      <c r="B24" s="18">
        <v>12</v>
      </c>
      <c r="C24" s="28" t="s">
        <v>18</v>
      </c>
      <c r="D24" s="30">
        <f>G10+L10+Q10+V10+AA10</f>
        <v>1</v>
      </c>
      <c r="E24" s="23">
        <v>41</v>
      </c>
      <c r="F24" s="78">
        <v>51000</v>
      </c>
      <c r="G24" s="32"/>
      <c r="H24" s="18">
        <v>30</v>
      </c>
      <c r="I24" s="28" t="s">
        <v>13</v>
      </c>
      <c r="J24" s="30">
        <f>SUM(W10:AA10)</f>
        <v>0</v>
      </c>
      <c r="K24" s="21">
        <v>92</v>
      </c>
      <c r="L24" s="78">
        <v>57500</v>
      </c>
      <c r="M24" s="21">
        <v>0.88</v>
      </c>
      <c r="N24" s="27"/>
      <c r="O24" s="78">
        <v>57500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2.75">
      <c r="A25" s="6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3" ht="12.75">
      <c r="A26" s="35" t="s">
        <v>33</v>
      </c>
      <c r="B26" s="36">
        <f>SUMPRODUCT(C16:AA16,C10:AA10)</f>
        <v>9.043548476336397</v>
      </c>
      <c r="C26" s="32"/>
    </row>
    <row r="27" spans="1:3" ht="12.75">
      <c r="A27" s="35"/>
      <c r="B27" s="37"/>
      <c r="C27" s="32"/>
    </row>
    <row r="28" spans="1:2" ht="12.75">
      <c r="A28" s="38" t="s">
        <v>34</v>
      </c>
      <c r="B28" s="7">
        <v>0.95</v>
      </c>
    </row>
    <row r="29" spans="1:3" ht="12.75">
      <c r="A29" s="35" t="s">
        <v>35</v>
      </c>
      <c r="B29" s="39">
        <f>365*24*B28</f>
        <v>8322</v>
      </c>
      <c r="C29" s="32"/>
    </row>
    <row r="30" spans="1:3" ht="12.75">
      <c r="A30" s="35"/>
      <c r="C30" s="32"/>
    </row>
    <row r="31" spans="1:3" ht="25.5">
      <c r="A31" s="35" t="s">
        <v>36</v>
      </c>
      <c r="B31" s="24">
        <f>B26*B29</f>
        <v>75260.4104200715</v>
      </c>
      <c r="C31" s="32"/>
    </row>
    <row r="32" spans="1:12" ht="25.5">
      <c r="A32" s="35" t="s">
        <v>37</v>
      </c>
      <c r="B32" s="24">
        <f>B31*B4</f>
        <v>376302.0521003575</v>
      </c>
      <c r="C32" s="32">
        <f>B32/1000</f>
        <v>376.30205210035746</v>
      </c>
      <c r="D32" s="35" t="s">
        <v>113</v>
      </c>
      <c r="G32" s="40"/>
      <c r="H32" s="32"/>
      <c r="I32" s="41"/>
      <c r="J32" s="32"/>
      <c r="K32" s="32"/>
      <c r="L32" s="32"/>
    </row>
    <row r="33" spans="1:12" ht="25.5">
      <c r="A33" s="35" t="s">
        <v>38</v>
      </c>
      <c r="B33" s="79">
        <f>B64</f>
        <v>45156.246252042765</v>
      </c>
      <c r="C33" s="43"/>
      <c r="G33" s="40"/>
      <c r="H33" s="32"/>
      <c r="I33" s="32"/>
      <c r="J33" s="32"/>
      <c r="K33" s="32"/>
      <c r="L33" s="32"/>
    </row>
    <row r="34" spans="1:3" ht="12.75">
      <c r="A34" s="44"/>
      <c r="B34" s="45"/>
      <c r="C34" s="32"/>
    </row>
    <row r="35" spans="1:2" ht="12.75">
      <c r="A35" s="46" t="s">
        <v>39</v>
      </c>
      <c r="B35" s="32"/>
    </row>
    <row r="36" ht="12.75">
      <c r="A36" s="47"/>
    </row>
    <row r="37" spans="1:4" ht="51">
      <c r="A37" s="1" t="s">
        <v>40</v>
      </c>
      <c r="B37" s="48" t="s">
        <v>112</v>
      </c>
      <c r="D37" s="48" t="s">
        <v>111</v>
      </c>
    </row>
    <row r="38" spans="1:4" ht="12.75">
      <c r="A38" s="49" t="s">
        <v>43</v>
      </c>
      <c r="B38" s="84">
        <v>120</v>
      </c>
      <c r="C38" t="s">
        <v>44</v>
      </c>
      <c r="D38" s="7">
        <v>0</v>
      </c>
    </row>
    <row r="39" spans="1:5" ht="12.75">
      <c r="A39" s="49" t="s">
        <v>45</v>
      </c>
      <c r="B39" s="84">
        <v>100</v>
      </c>
      <c r="C39" t="s">
        <v>46</v>
      </c>
      <c r="D39" s="7">
        <f>10^3/2</f>
        <v>500</v>
      </c>
      <c r="E39" t="s">
        <v>47</v>
      </c>
    </row>
    <row r="40" spans="1:5" ht="12.75">
      <c r="A40" s="49" t="s">
        <v>48</v>
      </c>
      <c r="B40" s="84">
        <v>70</v>
      </c>
      <c r="C40" t="s">
        <v>49</v>
      </c>
      <c r="D40" s="7">
        <f>10^3</f>
        <v>1000</v>
      </c>
      <c r="E40" t="s">
        <v>50</v>
      </c>
    </row>
    <row r="41" ht="12.75">
      <c r="A41" s="6"/>
    </row>
    <row r="42" spans="1:3" ht="12.75">
      <c r="A42" s="6" t="s">
        <v>51</v>
      </c>
      <c r="B42" s="32"/>
      <c r="C42" s="32"/>
    </row>
    <row r="43" spans="1:6" ht="12.75">
      <c r="A43" s="6" t="s">
        <v>52</v>
      </c>
      <c r="B43" s="19">
        <v>0</v>
      </c>
      <c r="C43" s="51" t="s">
        <v>53</v>
      </c>
      <c r="D43" s="52">
        <v>376.3020521003564</v>
      </c>
      <c r="E43" s="51" t="s">
        <v>54</v>
      </c>
      <c r="F43" s="53">
        <f>B39*D39-B38*D39</f>
        <v>-10000</v>
      </c>
    </row>
    <row r="44" spans="1:6" ht="12.75">
      <c r="A44" s="6" t="s">
        <v>55</v>
      </c>
      <c r="B44" s="19">
        <v>0</v>
      </c>
      <c r="C44" s="51" t="s">
        <v>56</v>
      </c>
      <c r="D44" s="52">
        <v>0</v>
      </c>
      <c r="E44" s="51" t="s">
        <v>57</v>
      </c>
      <c r="F44" s="53">
        <f>B40*(D39+D40)-B39*(D39+D40)</f>
        <v>-45000</v>
      </c>
    </row>
    <row r="45" spans="1:4" ht="12.75">
      <c r="A45" s="54" t="s">
        <v>58</v>
      </c>
      <c r="B45" s="28">
        <f>SUM(B43:B44)</f>
        <v>0</v>
      </c>
      <c r="C45" s="51" t="s">
        <v>59</v>
      </c>
      <c r="D45" s="52">
        <v>0</v>
      </c>
    </row>
    <row r="46" spans="1:4" ht="12.75">
      <c r="A46" s="1"/>
      <c r="B46" s="32"/>
      <c r="C46" s="51" t="s">
        <v>60</v>
      </c>
      <c r="D46" s="56">
        <f>SUM(D43:D45)</f>
        <v>376.3020521003564</v>
      </c>
    </row>
    <row r="47" spans="1:4" ht="12.75">
      <c r="A47" s="1"/>
      <c r="B47" s="32"/>
      <c r="C47" s="51"/>
      <c r="D47" s="57"/>
    </row>
    <row r="48" ht="12.75">
      <c r="A48" s="6"/>
    </row>
    <row r="49" spans="1:4" ht="12.75">
      <c r="A49" s="49" t="s">
        <v>61</v>
      </c>
      <c r="B49" s="17" t="s">
        <v>62</v>
      </c>
      <c r="C49" s="58" t="s">
        <v>63</v>
      </c>
      <c r="D49" s="17" t="s">
        <v>64</v>
      </c>
    </row>
    <row r="50" spans="1:4" ht="15.75">
      <c r="A50" s="6" t="s">
        <v>65</v>
      </c>
      <c r="B50" s="148"/>
      <c r="C50" s="59" t="s">
        <v>66</v>
      </c>
      <c r="D50" s="148"/>
    </row>
    <row r="51" spans="1:4" ht="12.75">
      <c r="A51" s="6" t="s">
        <v>114</v>
      </c>
      <c r="B51" s="148">
        <f>SUMPRODUCT(C10:AA10,C14:AA14)-SUMPRODUCT(C10:AA10,C13:AA13)</f>
        <v>-1</v>
      </c>
      <c r="C51" s="28" t="s">
        <v>68</v>
      </c>
      <c r="D51" s="148">
        <v>0</v>
      </c>
    </row>
    <row r="52" spans="1:4" ht="12.75">
      <c r="A52" s="6" t="s">
        <v>69</v>
      </c>
      <c r="B52" s="148">
        <f>SUM(C10:AA10)</f>
        <v>1</v>
      </c>
      <c r="C52" s="28" t="s">
        <v>70</v>
      </c>
      <c r="D52" s="148">
        <v>1</v>
      </c>
    </row>
    <row r="53" spans="1:6" ht="12.75">
      <c r="A53" s="6" t="s">
        <v>108</v>
      </c>
      <c r="B53" s="148">
        <f>D39*B43-D43</f>
        <v>-376.3020521003564</v>
      </c>
      <c r="C53" s="30" t="s">
        <v>68</v>
      </c>
      <c r="D53" s="148">
        <v>0</v>
      </c>
      <c r="F53" s="60"/>
    </row>
    <row r="54" spans="1:4" ht="12.75">
      <c r="A54" s="6" t="s">
        <v>115</v>
      </c>
      <c r="B54" s="56">
        <f>D43-D39</f>
        <v>-123.69794789964362</v>
      </c>
      <c r="C54" s="30" t="s">
        <v>68</v>
      </c>
      <c r="D54" s="148">
        <v>0</v>
      </c>
    </row>
    <row r="55" spans="1:4" ht="12.75">
      <c r="A55" s="6" t="s">
        <v>109</v>
      </c>
      <c r="B55" s="148">
        <f>(D40-D39)*B44-D44</f>
        <v>0</v>
      </c>
      <c r="C55" s="30" t="s">
        <v>68</v>
      </c>
      <c r="D55" s="148">
        <v>0</v>
      </c>
    </row>
    <row r="56" spans="1:4" ht="12.75">
      <c r="A56" s="6" t="s">
        <v>110</v>
      </c>
      <c r="B56" s="148">
        <f>D44-(D40-D39)*B43</f>
        <v>0</v>
      </c>
      <c r="C56" s="30" t="s">
        <v>68</v>
      </c>
      <c r="D56" s="148">
        <v>0</v>
      </c>
    </row>
    <row r="57" spans="1:4" ht="12.75">
      <c r="A57" s="6" t="s">
        <v>116</v>
      </c>
      <c r="B57" s="148"/>
      <c r="C57" s="30" t="s">
        <v>68</v>
      </c>
      <c r="D57" s="148"/>
    </row>
    <row r="58" spans="1:4" ht="12.75">
      <c r="A58" s="6" t="s">
        <v>73</v>
      </c>
      <c r="B58" s="148">
        <f>D45-10^4*B44</f>
        <v>0</v>
      </c>
      <c r="C58" s="30" t="s">
        <v>68</v>
      </c>
      <c r="D58" s="148">
        <v>0</v>
      </c>
    </row>
    <row r="59" spans="1:5" ht="12.75">
      <c r="A59" s="6" t="s">
        <v>74</v>
      </c>
      <c r="B59" s="56">
        <f>SUM(D43:D45)-C32</f>
        <v>-1.0800249583553523E-12</v>
      </c>
      <c r="C59" s="30" t="s">
        <v>70</v>
      </c>
      <c r="D59" s="148">
        <v>0</v>
      </c>
      <c r="E59" s="60"/>
    </row>
    <row r="60" spans="1:4" ht="12.75">
      <c r="A60" s="6" t="s">
        <v>75</v>
      </c>
      <c r="B60" s="148"/>
      <c r="C60" s="30" t="s">
        <v>70</v>
      </c>
      <c r="D60" s="148"/>
    </row>
    <row r="61" spans="1:4" ht="12.75">
      <c r="A61" s="6" t="s">
        <v>76</v>
      </c>
      <c r="B61" s="148"/>
      <c r="C61" s="30" t="s">
        <v>70</v>
      </c>
      <c r="D61" s="148"/>
    </row>
    <row r="62" spans="1:3" ht="12.75">
      <c r="A62" s="6"/>
      <c r="C62" s="13"/>
    </row>
    <row r="63" spans="1:3" ht="15.75">
      <c r="A63" s="1"/>
      <c r="B63" s="61"/>
      <c r="C63" s="13"/>
    </row>
    <row r="64" spans="1:3" ht="12.75">
      <c r="A64" s="49" t="s">
        <v>77</v>
      </c>
      <c r="B64" s="62">
        <f>B38*D43+B39*D44+B40*D45+F43*B43+F44*B44</f>
        <v>45156.246252042765</v>
      </c>
      <c r="C64" s="43" t="s">
        <v>78</v>
      </c>
    </row>
    <row r="90" ht="12.75">
      <c r="H90" s="169"/>
    </row>
  </sheetData>
  <mergeCells count="1">
    <mergeCell ref="B8:B9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90"/>
  <sheetViews>
    <sheetView zoomScale="85" zoomScaleNormal="85" workbookViewId="0" topLeftCell="A1">
      <pane ySplit="10" topLeftCell="BM33" activePane="bottomLeft" state="frozen"/>
      <selection pane="topLeft" activeCell="B1" sqref="B1"/>
      <selection pane="bottomLeft" activeCell="G51" sqref="G51"/>
    </sheetView>
  </sheetViews>
  <sheetFormatPr defaultColWidth="9.140625" defaultRowHeight="12.75"/>
  <cols>
    <col min="1" max="1" width="29.421875" style="0" customWidth="1"/>
    <col min="2" max="2" width="10.8515625" style="0" customWidth="1"/>
    <col min="4" max="4" width="11.7109375" style="0" bestFit="1" customWidth="1"/>
    <col min="6" max="6" width="15.140625" style="0" customWidth="1"/>
    <col min="8" max="8" width="11.28125" style="0" bestFit="1" customWidth="1"/>
    <col min="12" max="12" width="11.00390625" style="0" customWidth="1"/>
  </cols>
  <sheetData>
    <row r="1" ht="13.5" thickBot="1">
      <c r="A1" s="1"/>
    </row>
    <row r="2" spans="1:12" ht="12.75">
      <c r="A2" s="2" t="s">
        <v>0</v>
      </c>
      <c r="C2" s="2"/>
      <c r="I2" s="3"/>
      <c r="J2" s="4" t="s">
        <v>1</v>
      </c>
      <c r="K2" s="4"/>
      <c r="L2" s="5"/>
    </row>
    <row r="3" spans="1:12" ht="15.75">
      <c r="A3" s="6" t="s">
        <v>2</v>
      </c>
      <c r="B3" s="7">
        <v>750</v>
      </c>
      <c r="D3" s="92"/>
      <c r="I3" s="8"/>
      <c r="J3" s="9" t="s">
        <v>3</v>
      </c>
      <c r="K3" s="9"/>
      <c r="L3" s="10"/>
    </row>
    <row r="4" spans="1:12" ht="12.75">
      <c r="A4" s="6" t="s">
        <v>4</v>
      </c>
      <c r="B4" s="7">
        <v>5</v>
      </c>
      <c r="I4" s="11"/>
      <c r="J4" s="9" t="s">
        <v>5</v>
      </c>
      <c r="K4" s="9"/>
      <c r="L4" s="10"/>
    </row>
    <row r="5" spans="1:12" ht="12.75">
      <c r="A5" s="1"/>
      <c r="I5" s="12"/>
      <c r="J5" s="9" t="s">
        <v>6</v>
      </c>
      <c r="K5" s="9"/>
      <c r="L5" s="10"/>
    </row>
    <row r="6" spans="1:12" ht="13.5" thickBot="1">
      <c r="A6" s="6"/>
      <c r="B6" s="13"/>
      <c r="I6" s="14"/>
      <c r="J6" s="15" t="s">
        <v>7</v>
      </c>
      <c r="K6" s="15"/>
      <c r="L6" s="16"/>
    </row>
    <row r="7" ht="12.75">
      <c r="A7" s="6"/>
    </row>
    <row r="8" spans="1:27" ht="12.75">
      <c r="A8" s="6"/>
      <c r="B8" s="207" t="s">
        <v>8</v>
      </c>
      <c r="C8" s="17" t="s">
        <v>9</v>
      </c>
      <c r="D8" s="17" t="s">
        <v>9</v>
      </c>
      <c r="E8" s="17" t="s">
        <v>9</v>
      </c>
      <c r="F8" s="17" t="s">
        <v>9</v>
      </c>
      <c r="G8" s="17" t="s">
        <v>9</v>
      </c>
      <c r="H8" s="17" t="s">
        <v>10</v>
      </c>
      <c r="I8" s="17" t="s">
        <v>10</v>
      </c>
      <c r="J8" s="17" t="s">
        <v>10</v>
      </c>
      <c r="K8" s="17" t="s">
        <v>10</v>
      </c>
      <c r="L8" s="17" t="s">
        <v>10</v>
      </c>
      <c r="M8" s="17" t="s">
        <v>11</v>
      </c>
      <c r="N8" s="17" t="s">
        <v>11</v>
      </c>
      <c r="O8" s="17" t="s">
        <v>11</v>
      </c>
      <c r="P8" s="17" t="s">
        <v>11</v>
      </c>
      <c r="Q8" s="17" t="s">
        <v>11</v>
      </c>
      <c r="R8" s="17" t="s">
        <v>12</v>
      </c>
      <c r="S8" s="17" t="s">
        <v>12</v>
      </c>
      <c r="T8" s="17" t="s">
        <v>12</v>
      </c>
      <c r="U8" s="17" t="s">
        <v>12</v>
      </c>
      <c r="V8" s="17" t="s">
        <v>12</v>
      </c>
      <c r="W8" s="17" t="s">
        <v>13</v>
      </c>
      <c r="X8" s="17" t="s">
        <v>13</v>
      </c>
      <c r="Y8" s="17" t="s">
        <v>13</v>
      </c>
      <c r="Z8" s="17" t="s">
        <v>13</v>
      </c>
      <c r="AA8" s="17" t="s">
        <v>13</v>
      </c>
    </row>
    <row r="9" spans="1:27" ht="12.75">
      <c r="A9" s="6"/>
      <c r="B9" s="207"/>
      <c r="C9" s="17" t="s">
        <v>14</v>
      </c>
      <c r="D9" s="17" t="s">
        <v>15</v>
      </c>
      <c r="E9" s="17" t="s">
        <v>16</v>
      </c>
      <c r="F9" s="17" t="s">
        <v>17</v>
      </c>
      <c r="G9" s="17" t="s">
        <v>18</v>
      </c>
      <c r="H9" s="17" t="s">
        <v>14</v>
      </c>
      <c r="I9" s="17" t="s">
        <v>15</v>
      </c>
      <c r="J9" s="17" t="s">
        <v>16</v>
      </c>
      <c r="K9" s="17" t="s">
        <v>17</v>
      </c>
      <c r="L9" s="17" t="s">
        <v>18</v>
      </c>
      <c r="M9" s="17" t="s">
        <v>14</v>
      </c>
      <c r="N9" s="17" t="s">
        <v>15</v>
      </c>
      <c r="O9" s="17" t="s">
        <v>16</v>
      </c>
      <c r="P9" s="17" t="s">
        <v>17</v>
      </c>
      <c r="Q9" s="17" t="s">
        <v>18</v>
      </c>
      <c r="R9" s="17" t="s">
        <v>14</v>
      </c>
      <c r="S9" s="17" t="s">
        <v>15</v>
      </c>
      <c r="T9" s="17" t="s">
        <v>16</v>
      </c>
      <c r="U9" s="17" t="s">
        <v>17</v>
      </c>
      <c r="V9" s="17" t="s">
        <v>18</v>
      </c>
      <c r="W9" s="17" t="s">
        <v>14</v>
      </c>
      <c r="X9" s="17" t="s">
        <v>15</v>
      </c>
      <c r="Y9" s="17" t="s">
        <v>16</v>
      </c>
      <c r="Z9" s="17" t="s">
        <v>17</v>
      </c>
      <c r="AA9" s="17" t="s">
        <v>18</v>
      </c>
    </row>
    <row r="10" spans="1:27" ht="15.75">
      <c r="A10" s="6"/>
      <c r="B10" s="18" t="s">
        <v>19</v>
      </c>
      <c r="C10" s="19">
        <v>0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</row>
    <row r="11" spans="1:27" ht="41.25">
      <c r="A11" s="6"/>
      <c r="B11" s="22" t="s">
        <v>20</v>
      </c>
      <c r="C11" s="20">
        <v>0.72</v>
      </c>
      <c r="D11" s="20">
        <v>0.72</v>
      </c>
      <c r="E11" s="20">
        <v>0.72</v>
      </c>
      <c r="F11" s="20">
        <v>0.72</v>
      </c>
      <c r="G11" s="20">
        <v>0.72</v>
      </c>
      <c r="H11" s="20">
        <v>0.7</v>
      </c>
      <c r="I11" s="20">
        <v>0.7</v>
      </c>
      <c r="J11" s="20">
        <v>0.7</v>
      </c>
      <c r="K11" s="20">
        <v>0.7</v>
      </c>
      <c r="L11" s="20">
        <v>0.7</v>
      </c>
      <c r="M11" s="20">
        <v>0.69</v>
      </c>
      <c r="N11" s="20">
        <v>0.69</v>
      </c>
      <c r="O11" s="20">
        <v>0.69</v>
      </c>
      <c r="P11" s="20">
        <v>0.69</v>
      </c>
      <c r="Q11" s="20">
        <v>0.69</v>
      </c>
      <c r="R11" s="20">
        <v>0.67</v>
      </c>
      <c r="S11" s="20">
        <v>0.67</v>
      </c>
      <c r="T11" s="20">
        <v>0.67</v>
      </c>
      <c r="U11" s="20">
        <v>0.67</v>
      </c>
      <c r="V11" s="20">
        <v>0.67</v>
      </c>
      <c r="W11" s="20">
        <v>0.65</v>
      </c>
      <c r="X11" s="20">
        <v>0.65</v>
      </c>
      <c r="Y11" s="20">
        <v>0.65</v>
      </c>
      <c r="Z11" s="20">
        <v>0.65</v>
      </c>
      <c r="AA11" s="20">
        <v>0.65</v>
      </c>
    </row>
    <row r="12" spans="1:27" ht="41.25">
      <c r="A12" s="6"/>
      <c r="B12" s="22" t="s">
        <v>21</v>
      </c>
      <c r="C12" s="21">
        <f>M20</f>
        <v>0.89</v>
      </c>
      <c r="D12" s="21">
        <f>C12</f>
        <v>0.89</v>
      </c>
      <c r="E12" s="21">
        <f>D12</f>
        <v>0.89</v>
      </c>
      <c r="F12" s="21">
        <f>E12</f>
        <v>0.89</v>
      </c>
      <c r="G12" s="21">
        <f>F12</f>
        <v>0.89</v>
      </c>
      <c r="H12" s="21">
        <f>M21</f>
        <v>0.88</v>
      </c>
      <c r="I12" s="21">
        <f>H12</f>
        <v>0.88</v>
      </c>
      <c r="J12" s="21">
        <f>I12</f>
        <v>0.88</v>
      </c>
      <c r="K12" s="21">
        <f>J12</f>
        <v>0.88</v>
      </c>
      <c r="L12" s="21">
        <f>K12</f>
        <v>0.88</v>
      </c>
      <c r="M12" s="21">
        <f>M22</f>
        <v>0.87</v>
      </c>
      <c r="N12" s="21">
        <f>M12</f>
        <v>0.87</v>
      </c>
      <c r="O12" s="21">
        <f>N12</f>
        <v>0.87</v>
      </c>
      <c r="P12" s="21">
        <f>O12</f>
        <v>0.87</v>
      </c>
      <c r="Q12" s="21">
        <f>P12</f>
        <v>0.87</v>
      </c>
      <c r="R12" s="21">
        <f>M23</f>
        <v>0.88</v>
      </c>
      <c r="S12" s="21">
        <f>R12</f>
        <v>0.88</v>
      </c>
      <c r="T12" s="21">
        <f>S12</f>
        <v>0.88</v>
      </c>
      <c r="U12" s="21">
        <f>T12</f>
        <v>0.88</v>
      </c>
      <c r="V12" s="21">
        <f>U12</f>
        <v>0.88</v>
      </c>
      <c r="W12" s="21">
        <f>M24</f>
        <v>0.88</v>
      </c>
      <c r="X12" s="21">
        <f aca="true" t="shared" si="0" ref="X12:AA13">W12</f>
        <v>0.88</v>
      </c>
      <c r="Y12" s="21">
        <f t="shared" si="0"/>
        <v>0.88</v>
      </c>
      <c r="Z12" s="21">
        <f t="shared" si="0"/>
        <v>0.88</v>
      </c>
      <c r="AA12" s="21">
        <f t="shared" si="0"/>
        <v>0.88</v>
      </c>
    </row>
    <row r="13" spans="1:27" ht="41.25">
      <c r="A13" s="6"/>
      <c r="B13" s="22" t="s">
        <v>22</v>
      </c>
      <c r="C13" s="21">
        <f>$K$20</f>
        <v>42</v>
      </c>
      <c r="D13" s="21">
        <f>$K$20</f>
        <v>42</v>
      </c>
      <c r="E13" s="21">
        <f>$K$20</f>
        <v>42</v>
      </c>
      <c r="F13" s="21">
        <f>$K$20</f>
        <v>42</v>
      </c>
      <c r="G13" s="21">
        <f>$K$20</f>
        <v>42</v>
      </c>
      <c r="H13" s="21">
        <f>$K$21</f>
        <v>57</v>
      </c>
      <c r="I13" s="21">
        <f>$K$21</f>
        <v>57</v>
      </c>
      <c r="J13" s="21">
        <f>$K$21</f>
        <v>57</v>
      </c>
      <c r="K13" s="21">
        <f>$K$21</f>
        <v>57</v>
      </c>
      <c r="L13" s="21">
        <f>$K$21</f>
        <v>57</v>
      </c>
      <c r="M13" s="21">
        <f>$K$22</f>
        <v>60</v>
      </c>
      <c r="N13" s="21">
        <f>$K$22</f>
        <v>60</v>
      </c>
      <c r="O13" s="21">
        <f>$K$22</f>
        <v>60</v>
      </c>
      <c r="P13" s="21">
        <f>$K$22</f>
        <v>60</v>
      </c>
      <c r="Q13" s="21">
        <f>$K$22</f>
        <v>60</v>
      </c>
      <c r="R13" s="21">
        <f>$K$23</f>
        <v>65</v>
      </c>
      <c r="S13" s="21">
        <f>$K$23</f>
        <v>65</v>
      </c>
      <c r="T13" s="21">
        <f>$K$23</f>
        <v>65</v>
      </c>
      <c r="U13" s="21">
        <f>$K$23</f>
        <v>65</v>
      </c>
      <c r="V13" s="21">
        <f>$K$23</f>
        <v>65</v>
      </c>
      <c r="W13" s="21">
        <f>K24</f>
        <v>92</v>
      </c>
      <c r="X13" s="21">
        <f t="shared" si="0"/>
        <v>92</v>
      </c>
      <c r="Y13" s="21">
        <f t="shared" si="0"/>
        <v>92</v>
      </c>
      <c r="Z13" s="21">
        <f t="shared" si="0"/>
        <v>92</v>
      </c>
      <c r="AA13" s="21">
        <f t="shared" si="0"/>
        <v>92</v>
      </c>
    </row>
    <row r="14" spans="1:27" ht="41.25">
      <c r="A14" s="6"/>
      <c r="B14" s="22" t="s">
        <v>23</v>
      </c>
      <c r="C14" s="23">
        <f>$E$20</f>
        <v>356</v>
      </c>
      <c r="D14" s="23">
        <f>$E$21</f>
        <v>90</v>
      </c>
      <c r="E14" s="23">
        <f>$E$22</f>
        <v>53</v>
      </c>
      <c r="F14" s="23">
        <f>$E$23</f>
        <v>44</v>
      </c>
      <c r="G14" s="23">
        <f>$E$24</f>
        <v>41</v>
      </c>
      <c r="H14" s="23">
        <f>$E$20</f>
        <v>356</v>
      </c>
      <c r="I14" s="23">
        <f>$E$21</f>
        <v>90</v>
      </c>
      <c r="J14" s="23">
        <f>$E$22</f>
        <v>53</v>
      </c>
      <c r="K14" s="23">
        <f>$E$23</f>
        <v>44</v>
      </c>
      <c r="L14" s="23">
        <f>$E$24</f>
        <v>41</v>
      </c>
      <c r="M14" s="23">
        <f>$E$20</f>
        <v>356</v>
      </c>
      <c r="N14" s="23">
        <f>$E$21</f>
        <v>90</v>
      </c>
      <c r="O14" s="23">
        <f>$E$22</f>
        <v>53</v>
      </c>
      <c r="P14" s="23">
        <f>$E$23</f>
        <v>44</v>
      </c>
      <c r="Q14" s="23">
        <f>$E$24</f>
        <v>41</v>
      </c>
      <c r="R14" s="23">
        <f>$E$20</f>
        <v>356</v>
      </c>
      <c r="S14" s="23">
        <f>$E$21</f>
        <v>90</v>
      </c>
      <c r="T14" s="23">
        <f>$E$22</f>
        <v>53</v>
      </c>
      <c r="U14" s="23">
        <f>$E$23</f>
        <v>44</v>
      </c>
      <c r="V14" s="23">
        <f>$E$24</f>
        <v>41</v>
      </c>
      <c r="W14" s="23">
        <f>$E$20</f>
        <v>356</v>
      </c>
      <c r="X14" s="23">
        <f>$E$21</f>
        <v>90</v>
      </c>
      <c r="Y14" s="23">
        <f>$E$22</f>
        <v>53</v>
      </c>
      <c r="Z14" s="23">
        <f>$E$23</f>
        <v>44</v>
      </c>
      <c r="AA14" s="23">
        <f>$E$24</f>
        <v>41</v>
      </c>
    </row>
    <row r="15" spans="1:27" ht="57">
      <c r="A15" s="6"/>
      <c r="B15" s="22" t="s">
        <v>24</v>
      </c>
      <c r="C15" s="24">
        <f aca="true" t="shared" si="1" ref="C15:AA15">(C14*$B$3)/(33000*C11)*8.34</f>
        <v>93.71969696969697</v>
      </c>
      <c r="D15" s="24">
        <f t="shared" si="1"/>
        <v>23.693181818181817</v>
      </c>
      <c r="E15" s="24">
        <f t="shared" si="1"/>
        <v>13.952651515151516</v>
      </c>
      <c r="F15" s="24">
        <f t="shared" si="1"/>
        <v>11.583333333333332</v>
      </c>
      <c r="G15" s="24">
        <f t="shared" si="1"/>
        <v>10.793560606060606</v>
      </c>
      <c r="H15" s="24">
        <f t="shared" si="1"/>
        <v>96.39740259740259</v>
      </c>
      <c r="I15" s="24">
        <f t="shared" si="1"/>
        <v>24.370129870129873</v>
      </c>
      <c r="J15" s="24">
        <f t="shared" si="1"/>
        <v>14.3512987012987</v>
      </c>
      <c r="K15" s="24">
        <f t="shared" si="1"/>
        <v>11.914285714285715</v>
      </c>
      <c r="L15" s="24">
        <f t="shared" si="1"/>
        <v>11.101948051948051</v>
      </c>
      <c r="M15" s="24">
        <f t="shared" si="1"/>
        <v>97.79446640316206</v>
      </c>
      <c r="N15" s="24">
        <f t="shared" si="1"/>
        <v>24.72332015810277</v>
      </c>
      <c r="O15" s="24">
        <f t="shared" si="1"/>
        <v>14.559288537549408</v>
      </c>
      <c r="P15" s="24">
        <f t="shared" si="1"/>
        <v>12.08695652173913</v>
      </c>
      <c r="Q15" s="24">
        <f t="shared" si="1"/>
        <v>11.262845849802371</v>
      </c>
      <c r="R15" s="24">
        <f t="shared" si="1"/>
        <v>100.71370420624152</v>
      </c>
      <c r="S15" s="24">
        <f t="shared" si="1"/>
        <v>25.46132971506106</v>
      </c>
      <c r="T15" s="24">
        <f t="shared" si="1"/>
        <v>14.993894165535956</v>
      </c>
      <c r="U15" s="24">
        <f t="shared" si="1"/>
        <v>12.447761194029852</v>
      </c>
      <c r="V15" s="24">
        <f t="shared" si="1"/>
        <v>11.599050203527815</v>
      </c>
      <c r="W15" s="24">
        <f t="shared" si="1"/>
        <v>103.81258741258742</v>
      </c>
      <c r="X15" s="24">
        <f t="shared" si="1"/>
        <v>26.244755244755243</v>
      </c>
      <c r="Y15" s="24">
        <f t="shared" si="1"/>
        <v>15.455244755244754</v>
      </c>
      <c r="Z15" s="24">
        <f t="shared" si="1"/>
        <v>12.830769230769231</v>
      </c>
      <c r="AA15" s="24">
        <f t="shared" si="1"/>
        <v>11.955944055944055</v>
      </c>
    </row>
    <row r="16" spans="1:27" ht="41.25">
      <c r="A16" s="6"/>
      <c r="B16" s="22" t="s">
        <v>25</v>
      </c>
      <c r="C16" s="24">
        <f aca="true" t="shared" si="2" ref="C16:AA16">C15*0.7457/C12</f>
        <v>78.5244696969697</v>
      </c>
      <c r="D16" s="24">
        <f t="shared" si="2"/>
        <v>19.851691777323797</v>
      </c>
      <c r="E16" s="24">
        <f t="shared" si="2"/>
        <v>11.690440713312904</v>
      </c>
      <c r="F16" s="24">
        <f t="shared" si="2"/>
        <v>9.705271535580524</v>
      </c>
      <c r="G16" s="24">
        <f t="shared" si="2"/>
        <v>9.043548476336397</v>
      </c>
      <c r="H16" s="24">
        <f t="shared" si="2"/>
        <v>81.68584445100355</v>
      </c>
      <c r="I16" s="24">
        <f t="shared" si="2"/>
        <v>20.65091573199528</v>
      </c>
      <c r="J16" s="24">
        <f t="shared" si="2"/>
        <v>12.161094819952774</v>
      </c>
      <c r="K16" s="24">
        <f t="shared" si="2"/>
        <v>10.096003246753249</v>
      </c>
      <c r="L16" s="24">
        <f t="shared" si="2"/>
        <v>9.407639389020071</v>
      </c>
      <c r="M16" s="24">
        <f t="shared" si="2"/>
        <v>83.8222225251011</v>
      </c>
      <c r="N16" s="24">
        <f t="shared" si="2"/>
        <v>21.191011312525557</v>
      </c>
      <c r="O16" s="24">
        <f t="shared" si="2"/>
        <v>12.47915110626505</v>
      </c>
      <c r="P16" s="24">
        <f t="shared" si="2"/>
        <v>10.360049975012494</v>
      </c>
      <c r="Q16" s="24">
        <f t="shared" si="2"/>
        <v>9.653682931261642</v>
      </c>
      <c r="R16" s="24">
        <f t="shared" si="2"/>
        <v>85.34341957567534</v>
      </c>
      <c r="S16" s="24">
        <f t="shared" si="2"/>
        <v>21.575583600592083</v>
      </c>
      <c r="T16" s="24">
        <f t="shared" si="2"/>
        <v>12.705621453682003</v>
      </c>
      <c r="U16" s="24">
        <f t="shared" si="2"/>
        <v>10.548063093622797</v>
      </c>
      <c r="V16" s="24">
        <f t="shared" si="2"/>
        <v>9.828876973603059</v>
      </c>
      <c r="W16" s="24">
        <f t="shared" si="2"/>
        <v>87.96937094723458</v>
      </c>
      <c r="X16" s="24">
        <f t="shared" si="2"/>
        <v>22.23944771137953</v>
      </c>
      <c r="Y16" s="24">
        <f t="shared" si="2"/>
        <v>13.096563652256833</v>
      </c>
      <c r="Z16" s="24">
        <f t="shared" si="2"/>
        <v>10.872618881118882</v>
      </c>
      <c r="AA16" s="24">
        <f t="shared" si="2"/>
        <v>10.13130395740623</v>
      </c>
    </row>
    <row r="17" spans="1:27" ht="12.7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2.75">
      <c r="A18" s="25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54">
      <c r="A19" s="25"/>
      <c r="B19" s="22" t="s">
        <v>26</v>
      </c>
      <c r="C19" s="28" t="s">
        <v>27</v>
      </c>
      <c r="D19" s="29" t="s">
        <v>28</v>
      </c>
      <c r="E19" s="29" t="s">
        <v>23</v>
      </c>
      <c r="F19" s="28" t="s">
        <v>29</v>
      </c>
      <c r="H19" s="22" t="s">
        <v>30</v>
      </c>
      <c r="I19" s="28" t="s">
        <v>31</v>
      </c>
      <c r="J19" s="29" t="s">
        <v>28</v>
      </c>
      <c r="K19" s="29" t="s">
        <v>22</v>
      </c>
      <c r="L19" s="29" t="s">
        <v>29</v>
      </c>
      <c r="M19" s="29" t="s">
        <v>32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2.75">
      <c r="A20" s="25"/>
      <c r="B20" s="18">
        <v>4</v>
      </c>
      <c r="C20" s="28" t="s">
        <v>14</v>
      </c>
      <c r="D20" s="30">
        <f>C10+H10+M10+R10+W10</f>
        <v>0</v>
      </c>
      <c r="E20" s="23">
        <v>356</v>
      </c>
      <c r="F20" s="78">
        <v>15000</v>
      </c>
      <c r="G20" s="32"/>
      <c r="H20" s="18">
        <v>12</v>
      </c>
      <c r="I20" s="28" t="s">
        <v>9</v>
      </c>
      <c r="J20" s="30">
        <f>SUM(C10:G10)</f>
        <v>1</v>
      </c>
      <c r="K20" s="21">
        <v>42</v>
      </c>
      <c r="L20" s="78">
        <v>32100</v>
      </c>
      <c r="M20" s="21">
        <v>0.89</v>
      </c>
      <c r="N20" s="27"/>
      <c r="O20" s="78">
        <v>32100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2.75">
      <c r="A21" s="25"/>
      <c r="B21" s="18">
        <v>6</v>
      </c>
      <c r="C21" s="28" t="s">
        <v>15</v>
      </c>
      <c r="D21" s="30">
        <f>D10+I10+N10+S10+X10</f>
        <v>0</v>
      </c>
      <c r="E21" s="23">
        <v>90</v>
      </c>
      <c r="F21" s="78">
        <v>19500</v>
      </c>
      <c r="G21" s="32"/>
      <c r="H21" s="18">
        <v>18</v>
      </c>
      <c r="I21" s="28" t="s">
        <v>10</v>
      </c>
      <c r="J21" s="30">
        <f>SUM(H10:L10)</f>
        <v>0</v>
      </c>
      <c r="K21" s="21">
        <v>57</v>
      </c>
      <c r="L21" s="78">
        <v>35400</v>
      </c>
      <c r="M21" s="21">
        <v>0.88</v>
      </c>
      <c r="N21" s="27"/>
      <c r="O21" s="78">
        <v>35400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2.75">
      <c r="A22" s="25"/>
      <c r="B22" s="18">
        <v>8</v>
      </c>
      <c r="C22" s="28" t="s">
        <v>16</v>
      </c>
      <c r="D22" s="30">
        <f>E10+J10+O10+T10+Y10</f>
        <v>0</v>
      </c>
      <c r="E22" s="23">
        <v>53</v>
      </c>
      <c r="F22" s="78">
        <v>28500</v>
      </c>
      <c r="G22" s="32"/>
      <c r="H22" s="18">
        <v>20</v>
      </c>
      <c r="I22" s="28" t="s">
        <v>11</v>
      </c>
      <c r="J22" s="30">
        <f>SUM(M10:Q10)</f>
        <v>0</v>
      </c>
      <c r="K22" s="21">
        <v>60</v>
      </c>
      <c r="L22" s="78">
        <v>49100</v>
      </c>
      <c r="M22" s="21">
        <v>0.87</v>
      </c>
      <c r="N22" s="27"/>
      <c r="O22" s="78">
        <v>49100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2.75">
      <c r="A23" s="25"/>
      <c r="B23" s="18">
        <v>10</v>
      </c>
      <c r="C23" s="28" t="s">
        <v>17</v>
      </c>
      <c r="D23" s="30">
        <f>F10+K10+P10+U10+Z10</f>
        <v>0</v>
      </c>
      <c r="E23" s="23">
        <v>44</v>
      </c>
      <c r="F23" s="78">
        <v>40000</v>
      </c>
      <c r="G23" s="32"/>
      <c r="H23" s="18">
        <v>25</v>
      </c>
      <c r="I23" s="28" t="s">
        <v>12</v>
      </c>
      <c r="J23" s="30">
        <f>SUM(R10:V10)</f>
        <v>0</v>
      </c>
      <c r="K23" s="21">
        <v>65</v>
      </c>
      <c r="L23" s="78">
        <v>49100</v>
      </c>
      <c r="M23" s="21">
        <v>0.88</v>
      </c>
      <c r="N23" s="27"/>
      <c r="O23" s="78">
        <v>49100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2.75">
      <c r="A24" s="25"/>
      <c r="B24" s="18">
        <v>12</v>
      </c>
      <c r="C24" s="28" t="s">
        <v>18</v>
      </c>
      <c r="D24" s="30">
        <f>G10+L10+Q10+V10+AA10</f>
        <v>1</v>
      </c>
      <c r="E24" s="23">
        <v>41</v>
      </c>
      <c r="F24" s="78">
        <v>51000</v>
      </c>
      <c r="G24" s="32"/>
      <c r="H24" s="18">
        <v>30</v>
      </c>
      <c r="I24" s="28" t="s">
        <v>13</v>
      </c>
      <c r="J24" s="30">
        <f>SUM(W10:AA10)</f>
        <v>0</v>
      </c>
      <c r="K24" s="21">
        <v>92</v>
      </c>
      <c r="L24" s="78">
        <v>57500</v>
      </c>
      <c r="M24" s="21">
        <v>0.88</v>
      </c>
      <c r="N24" s="27"/>
      <c r="O24" s="78">
        <v>57500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2.75">
      <c r="A25" s="6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3" ht="12.75">
      <c r="A26" s="35" t="s">
        <v>33</v>
      </c>
      <c r="B26" s="36">
        <f>SUMPRODUCT(C16:AA16,C10:AA10)</f>
        <v>9.043548476336397</v>
      </c>
      <c r="C26" s="32"/>
    </row>
    <row r="27" spans="1:3" ht="12.75">
      <c r="A27" s="35"/>
      <c r="B27" s="37"/>
      <c r="C27" s="32"/>
    </row>
    <row r="28" spans="1:2" ht="12.75">
      <c r="A28" s="38" t="s">
        <v>34</v>
      </c>
      <c r="B28" s="7">
        <v>0.95</v>
      </c>
    </row>
    <row r="29" spans="1:3" ht="12.75">
      <c r="A29" s="35" t="s">
        <v>35</v>
      </c>
      <c r="B29" s="39">
        <f>365*24*B28</f>
        <v>8322</v>
      </c>
      <c r="C29" s="32"/>
    </row>
    <row r="30" spans="1:3" ht="12.75">
      <c r="A30" s="35"/>
      <c r="C30" s="32"/>
    </row>
    <row r="31" spans="1:3" ht="25.5">
      <c r="A31" s="35" t="s">
        <v>36</v>
      </c>
      <c r="B31" s="24">
        <f>B26*B29</f>
        <v>75260.4104200715</v>
      </c>
      <c r="C31" s="32"/>
    </row>
    <row r="32" spans="1:12" ht="25.5">
      <c r="A32" s="35" t="s">
        <v>37</v>
      </c>
      <c r="B32" s="24">
        <f>B31*B4</f>
        <v>376302.0521003575</v>
      </c>
      <c r="C32" s="32">
        <f>B32/1000</f>
        <v>376.30205210035746</v>
      </c>
      <c r="D32" s="35" t="s">
        <v>113</v>
      </c>
      <c r="G32" s="40"/>
      <c r="H32" s="32"/>
      <c r="I32" s="41"/>
      <c r="J32" s="32"/>
      <c r="K32" s="32"/>
      <c r="L32" s="32"/>
    </row>
    <row r="33" spans="1:12" ht="25.5">
      <c r="A33" s="35" t="s">
        <v>38</v>
      </c>
      <c r="B33" s="79">
        <f>B64</f>
        <v>26341.143647024943</v>
      </c>
      <c r="C33" s="43"/>
      <c r="G33" s="40"/>
      <c r="H33" s="32"/>
      <c r="I33" s="32"/>
      <c r="J33" s="32"/>
      <c r="K33" s="32"/>
      <c r="L33" s="32"/>
    </row>
    <row r="34" spans="1:3" ht="12.75">
      <c r="A34" s="44"/>
      <c r="B34" s="45"/>
      <c r="C34" s="32"/>
    </row>
    <row r="35" spans="1:2" ht="12.75">
      <c r="A35" s="46" t="s">
        <v>39</v>
      </c>
      <c r="B35" s="32"/>
    </row>
    <row r="36" ht="12.75">
      <c r="A36" s="47"/>
    </row>
    <row r="37" spans="1:4" ht="51">
      <c r="A37" s="1" t="s">
        <v>40</v>
      </c>
      <c r="B37" s="48" t="s">
        <v>112</v>
      </c>
      <c r="D37" s="48" t="s">
        <v>111</v>
      </c>
    </row>
    <row r="38" spans="1:4" ht="12.75">
      <c r="A38" s="49" t="s">
        <v>43</v>
      </c>
      <c r="B38" s="84">
        <v>70</v>
      </c>
      <c r="C38" t="s">
        <v>44</v>
      </c>
      <c r="D38" s="7">
        <v>0</v>
      </c>
    </row>
    <row r="39" spans="1:5" ht="12.75">
      <c r="A39" s="49" t="s">
        <v>45</v>
      </c>
      <c r="B39" s="84">
        <v>100</v>
      </c>
      <c r="C39" t="s">
        <v>46</v>
      </c>
      <c r="D39" s="7">
        <f>10^3/2</f>
        <v>500</v>
      </c>
      <c r="E39" t="s">
        <v>47</v>
      </c>
    </row>
    <row r="40" spans="1:5" ht="12.75">
      <c r="A40" s="49" t="s">
        <v>48</v>
      </c>
      <c r="B40" s="84">
        <v>120</v>
      </c>
      <c r="C40" t="s">
        <v>49</v>
      </c>
      <c r="D40" s="7">
        <f>10^3</f>
        <v>1000</v>
      </c>
      <c r="E40" t="s">
        <v>50</v>
      </c>
    </row>
    <row r="41" ht="12.75">
      <c r="A41" s="6"/>
    </row>
    <row r="42" spans="1:3" ht="12.75">
      <c r="A42" s="6" t="s">
        <v>51</v>
      </c>
      <c r="B42" s="32"/>
      <c r="C42" s="32"/>
    </row>
    <row r="43" spans="1:6" ht="12.75">
      <c r="A43" s="6" t="s">
        <v>52</v>
      </c>
      <c r="B43" s="19">
        <v>0</v>
      </c>
      <c r="C43" s="51" t="s">
        <v>53</v>
      </c>
      <c r="D43" s="52">
        <v>376.3020521003563</v>
      </c>
      <c r="E43" s="51" t="s">
        <v>54</v>
      </c>
      <c r="F43" s="53">
        <v>0</v>
      </c>
    </row>
    <row r="44" spans="1:6" ht="12.75">
      <c r="A44" s="6" t="s">
        <v>55</v>
      </c>
      <c r="B44" s="19">
        <v>0</v>
      </c>
      <c r="C44" s="51" t="s">
        <v>56</v>
      </c>
      <c r="D44" s="52">
        <v>0</v>
      </c>
      <c r="E44" s="51" t="s">
        <v>57</v>
      </c>
      <c r="F44" s="53">
        <v>0</v>
      </c>
    </row>
    <row r="45" spans="1:4" ht="12.75">
      <c r="A45" s="54" t="s">
        <v>58</v>
      </c>
      <c r="B45" s="28">
        <f>SUM(B43:B44)</f>
        <v>0</v>
      </c>
      <c r="C45" s="51" t="s">
        <v>59</v>
      </c>
      <c r="D45" s="52">
        <v>0</v>
      </c>
    </row>
    <row r="46" spans="1:4" ht="12.75">
      <c r="A46" s="1"/>
      <c r="B46" s="32"/>
      <c r="C46" s="51" t="s">
        <v>60</v>
      </c>
      <c r="D46" s="56">
        <f>SUM(D43:D45)</f>
        <v>376.3020521003563</v>
      </c>
    </row>
    <row r="47" spans="1:4" ht="12.75">
      <c r="A47" s="1"/>
      <c r="B47" s="32"/>
      <c r="C47" s="51"/>
      <c r="D47" s="57"/>
    </row>
    <row r="48" ht="12.75">
      <c r="A48" s="6"/>
    </row>
    <row r="49" spans="1:4" ht="12.75">
      <c r="A49" s="49" t="s">
        <v>61</v>
      </c>
      <c r="B49" s="17" t="s">
        <v>62</v>
      </c>
      <c r="C49" s="58" t="s">
        <v>63</v>
      </c>
      <c r="D49" s="17" t="s">
        <v>64</v>
      </c>
    </row>
    <row r="50" spans="1:4" ht="15.75">
      <c r="A50" s="6" t="s">
        <v>65</v>
      </c>
      <c r="B50" s="148"/>
      <c r="C50" s="59" t="s">
        <v>66</v>
      </c>
      <c r="D50" s="148"/>
    </row>
    <row r="51" spans="1:4" ht="12.75">
      <c r="A51" s="6" t="s">
        <v>114</v>
      </c>
      <c r="B51" s="148">
        <f>SUMPRODUCT(C10:AA10,C14:AA14)-SUMPRODUCT(C10:AA10,C13:AA13)</f>
        <v>-1</v>
      </c>
      <c r="C51" s="28" t="s">
        <v>68</v>
      </c>
      <c r="D51" s="148">
        <v>0</v>
      </c>
    </row>
    <row r="52" spans="1:4" ht="12.75">
      <c r="A52" s="6" t="s">
        <v>69</v>
      </c>
      <c r="B52" s="148">
        <f>SUM(C10:AA10)</f>
        <v>1</v>
      </c>
      <c r="C52" s="28" t="s">
        <v>70</v>
      </c>
      <c r="D52" s="148">
        <v>1</v>
      </c>
    </row>
    <row r="53" spans="1:6" ht="12.75">
      <c r="A53" s="6" t="s">
        <v>108</v>
      </c>
      <c r="B53" s="148">
        <f>D39*B43-D43</f>
        <v>-376.3020521003563</v>
      </c>
      <c r="C53" s="30" t="s">
        <v>68</v>
      </c>
      <c r="D53" s="148">
        <v>0</v>
      </c>
      <c r="F53" s="60"/>
    </row>
    <row r="54" spans="1:4" ht="12.75">
      <c r="A54" s="6" t="s">
        <v>115</v>
      </c>
      <c r="B54" s="56">
        <f>D43-D39</f>
        <v>-123.69794789964368</v>
      </c>
      <c r="C54" s="30" t="s">
        <v>68</v>
      </c>
      <c r="D54" s="148">
        <v>0</v>
      </c>
    </row>
    <row r="55" spans="1:4" ht="12.75">
      <c r="A55" s="6" t="s">
        <v>109</v>
      </c>
      <c r="B55" s="148">
        <f>(D40-D39)*B44-D44</f>
        <v>0</v>
      </c>
      <c r="C55" s="30" t="s">
        <v>68</v>
      </c>
      <c r="D55" s="148">
        <v>0</v>
      </c>
    </row>
    <row r="56" spans="1:4" ht="12.75">
      <c r="A56" s="6" t="s">
        <v>110</v>
      </c>
      <c r="B56" s="148">
        <f>D44-(D40-D39)*B43</f>
        <v>0</v>
      </c>
      <c r="C56" s="30" t="s">
        <v>68</v>
      </c>
      <c r="D56" s="148">
        <v>0</v>
      </c>
    </row>
    <row r="57" spans="1:4" ht="12.75">
      <c r="A57" s="6" t="s">
        <v>116</v>
      </c>
      <c r="B57" s="148"/>
      <c r="C57" s="30" t="s">
        <v>68</v>
      </c>
      <c r="D57" s="148"/>
    </row>
    <row r="58" spans="1:4" ht="12.75">
      <c r="A58" s="6" t="s">
        <v>73</v>
      </c>
      <c r="B58" s="148">
        <f>D45-10^4*B44</f>
        <v>0</v>
      </c>
      <c r="C58" s="30" t="s">
        <v>68</v>
      </c>
      <c r="D58" s="148">
        <v>0</v>
      </c>
    </row>
    <row r="59" spans="1:5" ht="12.75">
      <c r="A59" s="6" t="s">
        <v>74</v>
      </c>
      <c r="B59" s="56">
        <f>SUM(D43:D45)-C32</f>
        <v>-1.1368683772161603E-12</v>
      </c>
      <c r="C59" s="30" t="s">
        <v>70</v>
      </c>
      <c r="D59" s="148">
        <v>0</v>
      </c>
      <c r="E59" s="60"/>
    </row>
    <row r="60" spans="1:4" ht="12.75">
      <c r="A60" s="6" t="s">
        <v>75</v>
      </c>
      <c r="B60" s="148"/>
      <c r="C60" s="30" t="s">
        <v>70</v>
      </c>
      <c r="D60" s="148"/>
    </row>
    <row r="61" spans="1:4" ht="12.75">
      <c r="A61" s="6" t="s">
        <v>76</v>
      </c>
      <c r="B61" s="148"/>
      <c r="C61" s="30" t="s">
        <v>70</v>
      </c>
      <c r="D61" s="148"/>
    </row>
    <row r="62" spans="1:3" ht="12.75">
      <c r="A62" s="6"/>
      <c r="C62" s="13"/>
    </row>
    <row r="63" spans="1:3" ht="15.75">
      <c r="A63" s="1"/>
      <c r="B63" s="61"/>
      <c r="C63" s="13"/>
    </row>
    <row r="64" spans="1:3" ht="12.75">
      <c r="A64" s="49" t="s">
        <v>77</v>
      </c>
      <c r="B64" s="62">
        <f>B38*D43+B39*D44+B40*D45+F43*B43+F44*B44</f>
        <v>26341.143647024943</v>
      </c>
      <c r="C64" s="43" t="s">
        <v>78</v>
      </c>
    </row>
    <row r="90" ht="12.75">
      <c r="H90" s="169"/>
    </row>
  </sheetData>
  <mergeCells count="1">
    <mergeCell ref="B8:B9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93"/>
  <sheetViews>
    <sheetView zoomScale="70" zoomScaleNormal="70" workbookViewId="0" topLeftCell="A37">
      <selection activeCell="L73" sqref="L73"/>
    </sheetView>
  </sheetViews>
  <sheetFormatPr defaultColWidth="9.140625" defaultRowHeight="12.75"/>
  <cols>
    <col min="1" max="1" width="28.00390625" style="0" customWidth="1"/>
    <col min="2" max="2" width="10.7109375" style="0" customWidth="1"/>
    <col min="6" max="6" width="14.28125" style="0" customWidth="1"/>
    <col min="12" max="12" width="11.00390625" style="0" customWidth="1"/>
  </cols>
  <sheetData>
    <row r="1" ht="13.5" thickBot="1">
      <c r="A1" s="1"/>
    </row>
    <row r="2" spans="1:12" ht="12.75">
      <c r="A2" s="2" t="s">
        <v>0</v>
      </c>
      <c r="C2" s="2"/>
      <c r="I2" s="3"/>
      <c r="J2" s="4" t="s">
        <v>1</v>
      </c>
      <c r="K2" s="4"/>
      <c r="L2" s="5"/>
    </row>
    <row r="3" spans="1:12" ht="15.75">
      <c r="A3" s="6" t="s">
        <v>2</v>
      </c>
      <c r="B3" s="7">
        <v>750</v>
      </c>
      <c r="I3" s="8"/>
      <c r="J3" s="9" t="s">
        <v>3</v>
      </c>
      <c r="K3" s="9"/>
      <c r="L3" s="10"/>
    </row>
    <row r="4" spans="1:12" ht="12.75">
      <c r="A4" s="6" t="s">
        <v>4</v>
      </c>
      <c r="B4" s="7">
        <v>20</v>
      </c>
      <c r="I4" s="11"/>
      <c r="J4" s="9" t="s">
        <v>5</v>
      </c>
      <c r="K4" s="9"/>
      <c r="L4" s="10"/>
    </row>
    <row r="5" spans="1:12" ht="12.75">
      <c r="A5" s="1"/>
      <c r="I5" s="12"/>
      <c r="J5" s="9" t="s">
        <v>6</v>
      </c>
      <c r="K5" s="9"/>
      <c r="L5" s="10"/>
    </row>
    <row r="6" spans="1:12" ht="13.5" thickBot="1">
      <c r="A6" s="6"/>
      <c r="B6" s="13"/>
      <c r="I6" s="14"/>
      <c r="J6" s="15" t="s">
        <v>7</v>
      </c>
      <c r="K6" s="15"/>
      <c r="L6" s="16"/>
    </row>
    <row r="7" ht="12.75">
      <c r="A7" s="6"/>
    </row>
    <row r="8" spans="1:27" ht="12.75">
      <c r="A8" s="6"/>
      <c r="B8" s="207" t="s">
        <v>8</v>
      </c>
      <c r="C8" s="17" t="s">
        <v>9</v>
      </c>
      <c r="D8" s="17" t="s">
        <v>9</v>
      </c>
      <c r="E8" s="17" t="s">
        <v>9</v>
      </c>
      <c r="F8" s="17" t="s">
        <v>9</v>
      </c>
      <c r="G8" s="17" t="s">
        <v>9</v>
      </c>
      <c r="H8" s="17" t="s">
        <v>10</v>
      </c>
      <c r="I8" s="17" t="s">
        <v>10</v>
      </c>
      <c r="J8" s="17" t="s">
        <v>10</v>
      </c>
      <c r="K8" s="17" t="s">
        <v>10</v>
      </c>
      <c r="L8" s="17" t="s">
        <v>10</v>
      </c>
      <c r="M8" s="17" t="s">
        <v>11</v>
      </c>
      <c r="N8" s="17" t="s">
        <v>11</v>
      </c>
      <c r="O8" s="17" t="s">
        <v>11</v>
      </c>
      <c r="P8" s="17" t="s">
        <v>11</v>
      </c>
      <c r="Q8" s="17" t="s">
        <v>11</v>
      </c>
      <c r="R8" s="17" t="s">
        <v>12</v>
      </c>
      <c r="S8" s="17" t="s">
        <v>12</v>
      </c>
      <c r="T8" s="17" t="s">
        <v>12</v>
      </c>
      <c r="U8" s="17" t="s">
        <v>12</v>
      </c>
      <c r="V8" s="17" t="s">
        <v>12</v>
      </c>
      <c r="W8" s="17" t="s">
        <v>13</v>
      </c>
      <c r="X8" s="17" t="s">
        <v>13</v>
      </c>
      <c r="Y8" s="17" t="s">
        <v>13</v>
      </c>
      <c r="Z8" s="17" t="s">
        <v>13</v>
      </c>
      <c r="AA8" s="17" t="s">
        <v>13</v>
      </c>
    </row>
    <row r="9" spans="1:27" ht="12.75">
      <c r="A9" s="6"/>
      <c r="B9" s="207"/>
      <c r="C9" s="17" t="s">
        <v>14</v>
      </c>
      <c r="D9" s="17" t="s">
        <v>15</v>
      </c>
      <c r="E9" s="17" t="s">
        <v>16</v>
      </c>
      <c r="F9" s="17" t="s">
        <v>17</v>
      </c>
      <c r="G9" s="17" t="s">
        <v>18</v>
      </c>
      <c r="H9" s="17" t="s">
        <v>14</v>
      </c>
      <c r="I9" s="17" t="s">
        <v>15</v>
      </c>
      <c r="J9" s="17" t="s">
        <v>16</v>
      </c>
      <c r="K9" s="17" t="s">
        <v>17</v>
      </c>
      <c r="L9" s="17" t="s">
        <v>18</v>
      </c>
      <c r="M9" s="17" t="s">
        <v>14</v>
      </c>
      <c r="N9" s="17" t="s">
        <v>15</v>
      </c>
      <c r="O9" s="17" t="s">
        <v>16</v>
      </c>
      <c r="P9" s="17" t="s">
        <v>17</v>
      </c>
      <c r="Q9" s="17" t="s">
        <v>18</v>
      </c>
      <c r="R9" s="17" t="s">
        <v>14</v>
      </c>
      <c r="S9" s="17" t="s">
        <v>15</v>
      </c>
      <c r="T9" s="17" t="s">
        <v>16</v>
      </c>
      <c r="U9" s="17" t="s">
        <v>17</v>
      </c>
      <c r="V9" s="17" t="s">
        <v>18</v>
      </c>
      <c r="W9" s="17" t="s">
        <v>14</v>
      </c>
      <c r="X9" s="17" t="s">
        <v>15</v>
      </c>
      <c r="Y9" s="17" t="s">
        <v>16</v>
      </c>
      <c r="Z9" s="17" t="s">
        <v>17</v>
      </c>
      <c r="AA9" s="17" t="s">
        <v>18</v>
      </c>
    </row>
    <row r="10" spans="1:27" ht="15.75">
      <c r="A10" s="6"/>
      <c r="B10" s="18" t="s">
        <v>19</v>
      </c>
      <c r="C10" s="19">
        <v>0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</row>
    <row r="11" spans="1:27" ht="41.25">
      <c r="A11" s="6"/>
      <c r="B11" s="22" t="s">
        <v>20</v>
      </c>
      <c r="C11" s="20">
        <v>0.72</v>
      </c>
      <c r="D11" s="20">
        <v>0.72</v>
      </c>
      <c r="E11" s="20">
        <v>0.72</v>
      </c>
      <c r="F11" s="20">
        <v>0.72</v>
      </c>
      <c r="G11" s="20">
        <v>0.72</v>
      </c>
      <c r="H11" s="20">
        <v>0.7</v>
      </c>
      <c r="I11" s="20">
        <v>0.7</v>
      </c>
      <c r="J11" s="20">
        <v>0.7</v>
      </c>
      <c r="K11" s="20">
        <v>0.7</v>
      </c>
      <c r="L11" s="20">
        <v>0.7</v>
      </c>
      <c r="M11" s="20">
        <v>0.69</v>
      </c>
      <c r="N11" s="20">
        <v>0.69</v>
      </c>
      <c r="O11" s="20">
        <v>0.69</v>
      </c>
      <c r="P11" s="20">
        <v>0.69</v>
      </c>
      <c r="Q11" s="20">
        <v>0.69</v>
      </c>
      <c r="R11" s="20">
        <v>0.67</v>
      </c>
      <c r="S11" s="20">
        <v>0.67</v>
      </c>
      <c r="T11" s="20">
        <v>0.67</v>
      </c>
      <c r="U11" s="20">
        <v>0.67</v>
      </c>
      <c r="V11" s="20">
        <v>0.67</v>
      </c>
      <c r="W11" s="20">
        <v>0.65</v>
      </c>
      <c r="X11" s="20">
        <v>0.65</v>
      </c>
      <c r="Y11" s="20">
        <v>0.65</v>
      </c>
      <c r="Z11" s="20">
        <v>0.65</v>
      </c>
      <c r="AA11" s="20">
        <v>0.65</v>
      </c>
    </row>
    <row r="12" spans="1:27" ht="41.25">
      <c r="A12" s="6"/>
      <c r="B12" s="22" t="s">
        <v>21</v>
      </c>
      <c r="C12" s="21">
        <f>M20</f>
        <v>0.89</v>
      </c>
      <c r="D12" s="21">
        <f>C12</f>
        <v>0.89</v>
      </c>
      <c r="E12" s="21">
        <f>D12</f>
        <v>0.89</v>
      </c>
      <c r="F12" s="21">
        <f>E12</f>
        <v>0.89</v>
      </c>
      <c r="G12" s="21">
        <f>F12</f>
        <v>0.89</v>
      </c>
      <c r="H12" s="21">
        <f>M21</f>
        <v>0.88</v>
      </c>
      <c r="I12" s="21">
        <f>H12</f>
        <v>0.88</v>
      </c>
      <c r="J12" s="21">
        <f>I12</f>
        <v>0.88</v>
      </c>
      <c r="K12" s="21">
        <f>J12</f>
        <v>0.88</v>
      </c>
      <c r="L12" s="21">
        <f>K12</f>
        <v>0.88</v>
      </c>
      <c r="M12" s="21">
        <f>M22</f>
        <v>0.87</v>
      </c>
      <c r="N12" s="21">
        <f>M12</f>
        <v>0.87</v>
      </c>
      <c r="O12" s="21">
        <f>N12</f>
        <v>0.87</v>
      </c>
      <c r="P12" s="21">
        <f>O12</f>
        <v>0.87</v>
      </c>
      <c r="Q12" s="21">
        <f>P12</f>
        <v>0.87</v>
      </c>
      <c r="R12" s="21">
        <f>M23</f>
        <v>0.88</v>
      </c>
      <c r="S12" s="21">
        <f>R12</f>
        <v>0.88</v>
      </c>
      <c r="T12" s="21">
        <f>S12</f>
        <v>0.88</v>
      </c>
      <c r="U12" s="21">
        <f>T12</f>
        <v>0.88</v>
      </c>
      <c r="V12" s="21">
        <f>U12</f>
        <v>0.88</v>
      </c>
      <c r="W12" s="21">
        <f>M24</f>
        <v>0.88</v>
      </c>
      <c r="X12" s="21">
        <f aca="true" t="shared" si="0" ref="X12:AA13">W12</f>
        <v>0.88</v>
      </c>
      <c r="Y12" s="21">
        <f t="shared" si="0"/>
        <v>0.88</v>
      </c>
      <c r="Z12" s="21">
        <f t="shared" si="0"/>
        <v>0.88</v>
      </c>
      <c r="AA12" s="21">
        <f t="shared" si="0"/>
        <v>0.88</v>
      </c>
    </row>
    <row r="13" spans="1:27" ht="41.25">
      <c r="A13" s="6"/>
      <c r="B13" s="22" t="s">
        <v>22</v>
      </c>
      <c r="C13" s="21">
        <f>$K$20</f>
        <v>42</v>
      </c>
      <c r="D13" s="21">
        <f>$K$20</f>
        <v>42</v>
      </c>
      <c r="E13" s="21">
        <f>$K$20</f>
        <v>42</v>
      </c>
      <c r="F13" s="21">
        <f>$K$20</f>
        <v>42</v>
      </c>
      <c r="G13" s="21">
        <f>$K$20</f>
        <v>42</v>
      </c>
      <c r="H13" s="21">
        <f>$K$21</f>
        <v>57</v>
      </c>
      <c r="I13" s="21">
        <f>$K$21</f>
        <v>57</v>
      </c>
      <c r="J13" s="21">
        <f>$K$21</f>
        <v>57</v>
      </c>
      <c r="K13" s="21">
        <f>$K$21</f>
        <v>57</v>
      </c>
      <c r="L13" s="21">
        <f>$K$21</f>
        <v>57</v>
      </c>
      <c r="M13" s="21">
        <f>$K$22</f>
        <v>60</v>
      </c>
      <c r="N13" s="21">
        <f>$K$22</f>
        <v>60</v>
      </c>
      <c r="O13" s="21">
        <f>$K$22</f>
        <v>60</v>
      </c>
      <c r="P13" s="21">
        <f>$K$22</f>
        <v>60</v>
      </c>
      <c r="Q13" s="21">
        <f>$K$22</f>
        <v>60</v>
      </c>
      <c r="R13" s="21">
        <f>$K$23</f>
        <v>65</v>
      </c>
      <c r="S13" s="21">
        <f>$K$23</f>
        <v>65</v>
      </c>
      <c r="T13" s="21">
        <f>$K$23</f>
        <v>65</v>
      </c>
      <c r="U13" s="21">
        <f>$K$23</f>
        <v>65</v>
      </c>
      <c r="V13" s="21">
        <f>$K$23</f>
        <v>65</v>
      </c>
      <c r="W13" s="21">
        <f>K24</f>
        <v>92</v>
      </c>
      <c r="X13" s="21">
        <f t="shared" si="0"/>
        <v>92</v>
      </c>
      <c r="Y13" s="21">
        <f t="shared" si="0"/>
        <v>92</v>
      </c>
      <c r="Z13" s="21">
        <f t="shared" si="0"/>
        <v>92</v>
      </c>
      <c r="AA13" s="21">
        <f t="shared" si="0"/>
        <v>92</v>
      </c>
    </row>
    <row r="14" spans="1:27" ht="41.25">
      <c r="A14" s="6"/>
      <c r="B14" s="22" t="s">
        <v>23</v>
      </c>
      <c r="C14" s="23">
        <f>$E$20</f>
        <v>356</v>
      </c>
      <c r="D14" s="23">
        <f>$E$21</f>
        <v>90</v>
      </c>
      <c r="E14" s="23">
        <f>$E$22</f>
        <v>53</v>
      </c>
      <c r="F14" s="23">
        <f>$E$23</f>
        <v>44</v>
      </c>
      <c r="G14" s="23">
        <f>$E$24</f>
        <v>41</v>
      </c>
      <c r="H14" s="23">
        <f>$E$20</f>
        <v>356</v>
      </c>
      <c r="I14" s="23">
        <f>$E$21</f>
        <v>90</v>
      </c>
      <c r="J14" s="23">
        <f>$E$22</f>
        <v>53</v>
      </c>
      <c r="K14" s="23">
        <f>$E$23</f>
        <v>44</v>
      </c>
      <c r="L14" s="23">
        <f>$E$24</f>
        <v>41</v>
      </c>
      <c r="M14" s="23">
        <f>$E$20</f>
        <v>356</v>
      </c>
      <c r="N14" s="23">
        <f>$E$21</f>
        <v>90</v>
      </c>
      <c r="O14" s="23">
        <f>$E$22</f>
        <v>53</v>
      </c>
      <c r="P14" s="23">
        <f>$E$23</f>
        <v>44</v>
      </c>
      <c r="Q14" s="23">
        <f>$E$24</f>
        <v>41</v>
      </c>
      <c r="R14" s="23">
        <f>$E$20</f>
        <v>356</v>
      </c>
      <c r="S14" s="23">
        <f>$E$21</f>
        <v>90</v>
      </c>
      <c r="T14" s="23">
        <f>$E$22</f>
        <v>53</v>
      </c>
      <c r="U14" s="23">
        <f>$E$23</f>
        <v>44</v>
      </c>
      <c r="V14" s="23">
        <f>$E$24</f>
        <v>41</v>
      </c>
      <c r="W14" s="23">
        <f>$E$20</f>
        <v>356</v>
      </c>
      <c r="X14" s="23">
        <f>$E$21</f>
        <v>90</v>
      </c>
      <c r="Y14" s="23">
        <f>$E$22</f>
        <v>53</v>
      </c>
      <c r="Z14" s="23">
        <f>$E$23</f>
        <v>44</v>
      </c>
      <c r="AA14" s="23">
        <f>$E$24</f>
        <v>41</v>
      </c>
    </row>
    <row r="15" spans="1:27" ht="57">
      <c r="A15" s="6"/>
      <c r="B15" s="22" t="s">
        <v>24</v>
      </c>
      <c r="C15" s="24">
        <f aca="true" t="shared" si="1" ref="C15:AA15">(C14*$B$3)/(33000*C11)*8.34</f>
        <v>93.71969696969697</v>
      </c>
      <c r="D15" s="24">
        <f t="shared" si="1"/>
        <v>23.693181818181817</v>
      </c>
      <c r="E15" s="24">
        <f t="shared" si="1"/>
        <v>13.952651515151516</v>
      </c>
      <c r="F15" s="24">
        <f t="shared" si="1"/>
        <v>11.583333333333332</v>
      </c>
      <c r="G15" s="24">
        <f t="shared" si="1"/>
        <v>10.793560606060606</v>
      </c>
      <c r="H15" s="24">
        <f t="shared" si="1"/>
        <v>96.39740259740259</v>
      </c>
      <c r="I15" s="24">
        <f t="shared" si="1"/>
        <v>24.370129870129873</v>
      </c>
      <c r="J15" s="24">
        <f t="shared" si="1"/>
        <v>14.3512987012987</v>
      </c>
      <c r="K15" s="24">
        <f t="shared" si="1"/>
        <v>11.914285714285715</v>
      </c>
      <c r="L15" s="24">
        <f t="shared" si="1"/>
        <v>11.101948051948051</v>
      </c>
      <c r="M15" s="24">
        <f t="shared" si="1"/>
        <v>97.79446640316206</v>
      </c>
      <c r="N15" s="24">
        <f t="shared" si="1"/>
        <v>24.72332015810277</v>
      </c>
      <c r="O15" s="24">
        <f t="shared" si="1"/>
        <v>14.559288537549408</v>
      </c>
      <c r="P15" s="24">
        <f t="shared" si="1"/>
        <v>12.08695652173913</v>
      </c>
      <c r="Q15" s="24">
        <f t="shared" si="1"/>
        <v>11.262845849802371</v>
      </c>
      <c r="R15" s="24">
        <f t="shared" si="1"/>
        <v>100.71370420624152</v>
      </c>
      <c r="S15" s="24">
        <f t="shared" si="1"/>
        <v>25.46132971506106</v>
      </c>
      <c r="T15" s="24">
        <f t="shared" si="1"/>
        <v>14.993894165535956</v>
      </c>
      <c r="U15" s="24">
        <f t="shared" si="1"/>
        <v>12.447761194029852</v>
      </c>
      <c r="V15" s="24">
        <f t="shared" si="1"/>
        <v>11.599050203527815</v>
      </c>
      <c r="W15" s="24">
        <f t="shared" si="1"/>
        <v>103.81258741258742</v>
      </c>
      <c r="X15" s="24">
        <f t="shared" si="1"/>
        <v>26.244755244755243</v>
      </c>
      <c r="Y15" s="24">
        <f t="shared" si="1"/>
        <v>15.455244755244754</v>
      </c>
      <c r="Z15" s="24">
        <f t="shared" si="1"/>
        <v>12.830769230769231</v>
      </c>
      <c r="AA15" s="24">
        <f t="shared" si="1"/>
        <v>11.955944055944055</v>
      </c>
    </row>
    <row r="16" spans="1:27" ht="54">
      <c r="A16" s="6"/>
      <c r="B16" s="22" t="s">
        <v>25</v>
      </c>
      <c r="C16" s="24">
        <f aca="true" t="shared" si="2" ref="C16:AA16">C15*0.7457/C12</f>
        <v>78.5244696969697</v>
      </c>
      <c r="D16" s="24">
        <f t="shared" si="2"/>
        <v>19.851691777323797</v>
      </c>
      <c r="E16" s="24">
        <f t="shared" si="2"/>
        <v>11.690440713312904</v>
      </c>
      <c r="F16" s="24">
        <f t="shared" si="2"/>
        <v>9.705271535580524</v>
      </c>
      <c r="G16" s="24">
        <f t="shared" si="2"/>
        <v>9.043548476336397</v>
      </c>
      <c r="H16" s="24">
        <f t="shared" si="2"/>
        <v>81.68584445100355</v>
      </c>
      <c r="I16" s="24">
        <f t="shared" si="2"/>
        <v>20.65091573199528</v>
      </c>
      <c r="J16" s="24">
        <f t="shared" si="2"/>
        <v>12.161094819952774</v>
      </c>
      <c r="K16" s="24">
        <f t="shared" si="2"/>
        <v>10.096003246753249</v>
      </c>
      <c r="L16" s="24">
        <f t="shared" si="2"/>
        <v>9.407639389020071</v>
      </c>
      <c r="M16" s="24">
        <f t="shared" si="2"/>
        <v>83.8222225251011</v>
      </c>
      <c r="N16" s="24">
        <f t="shared" si="2"/>
        <v>21.191011312525557</v>
      </c>
      <c r="O16" s="24">
        <f t="shared" si="2"/>
        <v>12.47915110626505</v>
      </c>
      <c r="P16" s="24">
        <f t="shared" si="2"/>
        <v>10.360049975012494</v>
      </c>
      <c r="Q16" s="24">
        <f t="shared" si="2"/>
        <v>9.653682931261642</v>
      </c>
      <c r="R16" s="24">
        <f t="shared" si="2"/>
        <v>85.34341957567534</v>
      </c>
      <c r="S16" s="24">
        <f t="shared" si="2"/>
        <v>21.575583600592083</v>
      </c>
      <c r="T16" s="24">
        <f t="shared" si="2"/>
        <v>12.705621453682003</v>
      </c>
      <c r="U16" s="24">
        <f t="shared" si="2"/>
        <v>10.548063093622797</v>
      </c>
      <c r="V16" s="24">
        <f t="shared" si="2"/>
        <v>9.828876973603059</v>
      </c>
      <c r="W16" s="24">
        <f t="shared" si="2"/>
        <v>87.96937094723458</v>
      </c>
      <c r="X16" s="24">
        <f t="shared" si="2"/>
        <v>22.23944771137953</v>
      </c>
      <c r="Y16" s="24">
        <f t="shared" si="2"/>
        <v>13.096563652256833</v>
      </c>
      <c r="Z16" s="24">
        <f t="shared" si="2"/>
        <v>10.872618881118882</v>
      </c>
      <c r="AA16" s="24">
        <f t="shared" si="2"/>
        <v>10.13130395740623</v>
      </c>
    </row>
    <row r="17" spans="1:27" ht="12.7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2.75">
      <c r="A18" s="25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54">
      <c r="A19" s="25"/>
      <c r="B19" s="22" t="s">
        <v>26</v>
      </c>
      <c r="C19" s="28" t="s">
        <v>27</v>
      </c>
      <c r="D19" s="29" t="s">
        <v>28</v>
      </c>
      <c r="E19" s="29" t="s">
        <v>23</v>
      </c>
      <c r="F19" s="28" t="s">
        <v>29</v>
      </c>
      <c r="H19" s="22" t="s">
        <v>30</v>
      </c>
      <c r="I19" s="28" t="s">
        <v>31</v>
      </c>
      <c r="J19" s="29" t="s">
        <v>28</v>
      </c>
      <c r="K19" s="29" t="s">
        <v>22</v>
      </c>
      <c r="L19" s="29" t="s">
        <v>29</v>
      </c>
      <c r="M19" s="29" t="s">
        <v>32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2.75">
      <c r="A20" s="25"/>
      <c r="B20" s="18">
        <v>4</v>
      </c>
      <c r="C20" s="28" t="s">
        <v>14</v>
      </c>
      <c r="D20" s="30">
        <f>C10+H10+M10+R10+W10</f>
        <v>0</v>
      </c>
      <c r="E20" s="23">
        <v>356</v>
      </c>
      <c r="F20" s="78">
        <v>15000</v>
      </c>
      <c r="G20" s="32"/>
      <c r="H20" s="18">
        <v>12</v>
      </c>
      <c r="I20" s="28" t="s">
        <v>9</v>
      </c>
      <c r="J20" s="30">
        <f>SUM(C10:G10)</f>
        <v>1</v>
      </c>
      <c r="K20" s="21">
        <v>42</v>
      </c>
      <c r="L20" s="78">
        <v>32100</v>
      </c>
      <c r="M20" s="21">
        <v>0.89</v>
      </c>
      <c r="N20" s="27"/>
      <c r="O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2.75">
      <c r="A21" s="25"/>
      <c r="B21" s="18">
        <v>6</v>
      </c>
      <c r="C21" s="28" t="s">
        <v>15</v>
      </c>
      <c r="D21" s="30">
        <f>D10+I10+N10+S10+X10</f>
        <v>0</v>
      </c>
      <c r="E21" s="23">
        <v>90</v>
      </c>
      <c r="F21" s="78">
        <v>19500</v>
      </c>
      <c r="G21" s="32"/>
      <c r="H21" s="18">
        <v>18</v>
      </c>
      <c r="I21" s="28" t="s">
        <v>10</v>
      </c>
      <c r="J21" s="30">
        <f>SUM(H10:L10)</f>
        <v>0</v>
      </c>
      <c r="K21" s="21">
        <v>57</v>
      </c>
      <c r="L21" s="78">
        <v>35400</v>
      </c>
      <c r="M21" s="21">
        <v>0.88</v>
      </c>
      <c r="N21" s="27"/>
      <c r="O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2.75">
      <c r="A22" s="25"/>
      <c r="B22" s="18">
        <v>8</v>
      </c>
      <c r="C22" s="28" t="s">
        <v>16</v>
      </c>
      <c r="D22" s="30">
        <f>E10+J10+O10+T10+Y10</f>
        <v>0</v>
      </c>
      <c r="E22" s="23">
        <v>53</v>
      </c>
      <c r="F22" s="78">
        <v>28500</v>
      </c>
      <c r="G22" s="32"/>
      <c r="H22" s="18">
        <v>20</v>
      </c>
      <c r="I22" s="28" t="s">
        <v>11</v>
      </c>
      <c r="J22" s="30">
        <f>SUM(M10:Q10)</f>
        <v>0</v>
      </c>
      <c r="K22" s="21">
        <v>60</v>
      </c>
      <c r="L22" s="78">
        <v>49100</v>
      </c>
      <c r="M22" s="21">
        <v>0.87</v>
      </c>
      <c r="N22" s="27"/>
      <c r="O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2.75">
      <c r="A23" s="25"/>
      <c r="B23" s="18">
        <v>10</v>
      </c>
      <c r="C23" s="28" t="s">
        <v>17</v>
      </c>
      <c r="D23" s="30">
        <f>F10+K10+P10+U10+Z10</f>
        <v>0</v>
      </c>
      <c r="E23" s="23">
        <v>44</v>
      </c>
      <c r="F23" s="78">
        <v>40000</v>
      </c>
      <c r="G23" s="32"/>
      <c r="H23" s="18">
        <v>25</v>
      </c>
      <c r="I23" s="28" t="s">
        <v>12</v>
      </c>
      <c r="J23" s="30">
        <f>SUM(R10:V10)</f>
        <v>0</v>
      </c>
      <c r="K23" s="21">
        <v>65</v>
      </c>
      <c r="L23" s="78">
        <v>49100</v>
      </c>
      <c r="M23" s="21">
        <v>0.88</v>
      </c>
      <c r="N23" s="27"/>
      <c r="O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2.75">
      <c r="A24" s="25"/>
      <c r="B24" s="18">
        <v>12</v>
      </c>
      <c r="C24" s="28" t="s">
        <v>18</v>
      </c>
      <c r="D24" s="30">
        <f>G10+L10+Q10+V10+AA10</f>
        <v>1</v>
      </c>
      <c r="E24" s="23">
        <v>41</v>
      </c>
      <c r="F24" s="78">
        <v>51000</v>
      </c>
      <c r="G24" s="32"/>
      <c r="H24" s="18">
        <v>30</v>
      </c>
      <c r="I24" s="28" t="s">
        <v>13</v>
      </c>
      <c r="J24" s="30">
        <f>SUM(W10:AA10)</f>
        <v>0</v>
      </c>
      <c r="K24" s="21">
        <v>92</v>
      </c>
      <c r="L24" s="78">
        <v>57500</v>
      </c>
      <c r="M24" s="21">
        <v>0.88</v>
      </c>
      <c r="N24" s="27"/>
      <c r="O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2.75">
      <c r="A25" s="6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3" ht="12.75">
      <c r="A26" s="35" t="s">
        <v>33</v>
      </c>
      <c r="B26" s="36">
        <f>SUMPRODUCT(C16:AA16,C10:AA10)</f>
        <v>9.043548476336397</v>
      </c>
      <c r="C26" s="32"/>
    </row>
    <row r="27" spans="1:3" ht="12.75">
      <c r="A27" s="35"/>
      <c r="B27" s="37"/>
      <c r="C27" s="32"/>
    </row>
    <row r="28" spans="1:2" ht="12.75">
      <c r="A28" s="38" t="s">
        <v>34</v>
      </c>
      <c r="B28" s="7">
        <v>0.95</v>
      </c>
    </row>
    <row r="29" spans="1:3" ht="12.75">
      <c r="A29" s="35" t="s">
        <v>35</v>
      </c>
      <c r="B29" s="39">
        <f>365*24*B28</f>
        <v>8322</v>
      </c>
      <c r="C29" s="32"/>
    </row>
    <row r="30" spans="1:3" ht="12.75">
      <c r="A30" s="35"/>
      <c r="C30" s="32"/>
    </row>
    <row r="31" spans="1:3" ht="25.5">
      <c r="A31" s="35" t="s">
        <v>36</v>
      </c>
      <c r="B31" s="24">
        <f>B26*B29</f>
        <v>75260.4104200715</v>
      </c>
      <c r="C31" s="32"/>
    </row>
    <row r="32" spans="1:12" ht="38.25">
      <c r="A32" s="35" t="s">
        <v>37</v>
      </c>
      <c r="B32" s="24">
        <f>B31*B4</f>
        <v>1505208.20840143</v>
      </c>
      <c r="C32" s="32">
        <f>B32/1000</f>
        <v>1505.2082084014298</v>
      </c>
      <c r="D32" s="35" t="s">
        <v>113</v>
      </c>
      <c r="G32" s="40"/>
      <c r="H32" s="32"/>
      <c r="I32" s="41"/>
      <c r="J32" s="32"/>
      <c r="K32" s="32"/>
      <c r="L32" s="32"/>
    </row>
    <row r="33" spans="1:12" ht="25.5">
      <c r="A33" s="35" t="s">
        <v>38</v>
      </c>
      <c r="B33" s="79">
        <f>B64</f>
        <v>190624.98500817106</v>
      </c>
      <c r="C33" s="43"/>
      <c r="G33" s="40"/>
      <c r="H33" s="32"/>
      <c r="I33" s="32"/>
      <c r="J33" s="32"/>
      <c r="K33" s="32"/>
      <c r="L33" s="32"/>
    </row>
    <row r="34" spans="1:3" ht="12.75">
      <c r="A34" s="44"/>
      <c r="B34" s="45"/>
      <c r="C34" s="32"/>
    </row>
    <row r="35" spans="1:2" ht="12.75">
      <c r="A35" s="46" t="s">
        <v>39</v>
      </c>
      <c r="B35" s="32"/>
    </row>
    <row r="36" ht="12.75">
      <c r="A36" s="47"/>
    </row>
    <row r="37" spans="1:4" ht="63.75">
      <c r="A37" s="1" t="s">
        <v>40</v>
      </c>
      <c r="B37" s="48" t="s">
        <v>112</v>
      </c>
      <c r="D37" s="48" t="s">
        <v>111</v>
      </c>
    </row>
    <row r="38" spans="1:4" ht="12.75">
      <c r="A38" s="49" t="s">
        <v>43</v>
      </c>
      <c r="B38" s="84">
        <v>70</v>
      </c>
      <c r="C38" t="s">
        <v>44</v>
      </c>
      <c r="D38" s="7">
        <v>0</v>
      </c>
    </row>
    <row r="39" spans="1:5" ht="12.75">
      <c r="A39" s="49" t="s">
        <v>45</v>
      </c>
      <c r="B39" s="84">
        <v>100</v>
      </c>
      <c r="C39" t="s">
        <v>46</v>
      </c>
      <c r="D39" s="7">
        <f>10^3/2</f>
        <v>500</v>
      </c>
      <c r="E39" t="s">
        <v>47</v>
      </c>
    </row>
    <row r="40" spans="1:5" ht="12.75">
      <c r="A40" s="49" t="s">
        <v>48</v>
      </c>
      <c r="B40" s="84">
        <v>120</v>
      </c>
      <c r="C40" t="s">
        <v>49</v>
      </c>
      <c r="D40" s="7">
        <f>10^3</f>
        <v>1000</v>
      </c>
      <c r="E40" t="s">
        <v>50</v>
      </c>
    </row>
    <row r="41" ht="12.75">
      <c r="A41" s="6"/>
    </row>
    <row r="42" spans="1:3" ht="12.75">
      <c r="A42" s="6" t="s">
        <v>51</v>
      </c>
      <c r="B42" s="32"/>
      <c r="C42" s="32"/>
    </row>
    <row r="43" spans="1:6" ht="12.75">
      <c r="A43" s="6" t="s">
        <v>52</v>
      </c>
      <c r="B43" s="19">
        <v>1</v>
      </c>
      <c r="C43" s="51" t="s">
        <v>53</v>
      </c>
      <c r="D43" s="52">
        <v>500</v>
      </c>
      <c r="E43" s="51" t="s">
        <v>54</v>
      </c>
      <c r="F43" s="93">
        <f>B39*D39-B38*D39</f>
        <v>15000</v>
      </c>
    </row>
    <row r="44" spans="1:6" ht="12.75">
      <c r="A44" s="6" t="s">
        <v>55</v>
      </c>
      <c r="B44" s="19">
        <v>1</v>
      </c>
      <c r="C44" s="51" t="s">
        <v>56</v>
      </c>
      <c r="D44" s="52">
        <v>500</v>
      </c>
      <c r="E44" s="51" t="s">
        <v>57</v>
      </c>
      <c r="F44" s="93">
        <f>B40*(D39+D40)-B39*(D39+D40)</f>
        <v>30000</v>
      </c>
    </row>
    <row r="45" spans="1:4" ht="12.75">
      <c r="A45" s="54" t="s">
        <v>58</v>
      </c>
      <c r="B45" s="28">
        <f>SUM(B43:B44)</f>
        <v>2</v>
      </c>
      <c r="C45" s="51" t="s">
        <v>59</v>
      </c>
      <c r="D45" s="52">
        <v>505.2082084014256</v>
      </c>
    </row>
    <row r="46" spans="1:4" ht="12.75">
      <c r="A46" s="1"/>
      <c r="B46" s="32"/>
      <c r="C46" s="51" t="s">
        <v>60</v>
      </c>
      <c r="D46" s="56">
        <f>SUM(D43:D45)</f>
        <v>1505.2082084014255</v>
      </c>
    </row>
    <row r="47" spans="1:4" ht="12.75">
      <c r="A47" s="1"/>
      <c r="B47" s="32"/>
      <c r="C47" s="51"/>
      <c r="D47" s="57"/>
    </row>
    <row r="48" ht="12.75">
      <c r="A48" s="6"/>
    </row>
    <row r="49" spans="1:4" ht="12.75">
      <c r="A49" s="49" t="s">
        <v>61</v>
      </c>
      <c r="B49" s="17" t="s">
        <v>62</v>
      </c>
      <c r="C49" s="58" t="s">
        <v>63</v>
      </c>
      <c r="D49" s="17" t="s">
        <v>64</v>
      </c>
    </row>
    <row r="50" spans="1:3" ht="15.75">
      <c r="A50" s="6" t="s">
        <v>65</v>
      </c>
      <c r="C50" s="59" t="s">
        <v>66</v>
      </c>
    </row>
    <row r="51" spans="1:4" ht="12.75">
      <c r="A51" s="6" t="s">
        <v>114</v>
      </c>
      <c r="B51">
        <f>SUMPRODUCT(C10:AA10,C14:AA14)-SUMPRODUCT(C10:AA10,C13:AA13)</f>
        <v>-1</v>
      </c>
      <c r="C51" s="28" t="s">
        <v>68</v>
      </c>
      <c r="D51">
        <v>0</v>
      </c>
    </row>
    <row r="52" spans="1:4" ht="12.75">
      <c r="A52" s="6" t="s">
        <v>69</v>
      </c>
      <c r="B52">
        <f>SUM(C10:AA10)</f>
        <v>1</v>
      </c>
      <c r="C52" s="28" t="s">
        <v>70</v>
      </c>
      <c r="D52">
        <v>1</v>
      </c>
    </row>
    <row r="53" spans="1:6" ht="12.75">
      <c r="A53" s="6" t="s">
        <v>108</v>
      </c>
      <c r="B53">
        <f>D39*B43-D43</f>
        <v>0</v>
      </c>
      <c r="C53" s="30" t="s">
        <v>68</v>
      </c>
      <c r="D53">
        <v>0</v>
      </c>
      <c r="F53" s="60"/>
    </row>
    <row r="54" spans="1:4" ht="12.75">
      <c r="A54" s="6" t="s">
        <v>115</v>
      </c>
      <c r="B54" s="60">
        <f>D43-D39</f>
        <v>0</v>
      </c>
      <c r="C54" s="30" t="s">
        <v>68</v>
      </c>
      <c r="D54">
        <v>0</v>
      </c>
    </row>
    <row r="55" spans="1:4" ht="12.75">
      <c r="A55" s="6" t="s">
        <v>109</v>
      </c>
      <c r="B55">
        <f>(D40-D39)*B44-D44</f>
        <v>0</v>
      </c>
      <c r="C55" s="30" t="s">
        <v>68</v>
      </c>
      <c r="D55">
        <v>0</v>
      </c>
    </row>
    <row r="56" spans="1:4" ht="12.75">
      <c r="A56" s="6" t="s">
        <v>110</v>
      </c>
      <c r="B56">
        <f>D44-(D40-D39)*B43</f>
        <v>0</v>
      </c>
      <c r="C56" s="30" t="s">
        <v>68</v>
      </c>
      <c r="D56">
        <v>0</v>
      </c>
    </row>
    <row r="57" spans="1:3" ht="12.75">
      <c r="A57" s="6" t="s">
        <v>116</v>
      </c>
      <c r="C57" s="30" t="s">
        <v>68</v>
      </c>
    </row>
    <row r="58" spans="1:4" ht="12.75">
      <c r="A58" s="6" t="s">
        <v>73</v>
      </c>
      <c r="B58">
        <f>D45-10^4*B44</f>
        <v>-9494.791791598574</v>
      </c>
      <c r="C58" s="30" t="s">
        <v>68</v>
      </c>
      <c r="D58">
        <v>0</v>
      </c>
    </row>
    <row r="59" spans="1:5" ht="12.75">
      <c r="A59" s="6" t="s">
        <v>74</v>
      </c>
      <c r="B59" s="60">
        <f>SUM(D43:D45)-C32</f>
        <v>-4.320099833421409E-12</v>
      </c>
      <c r="C59" s="30" t="s">
        <v>70</v>
      </c>
      <c r="D59">
        <v>0</v>
      </c>
      <c r="E59" s="60"/>
    </row>
    <row r="60" spans="1:3" ht="12.75">
      <c r="A60" s="6" t="s">
        <v>75</v>
      </c>
      <c r="C60" s="30" t="s">
        <v>70</v>
      </c>
    </row>
    <row r="61" spans="1:3" ht="12.75">
      <c r="A61" s="6" t="s">
        <v>76</v>
      </c>
      <c r="C61" s="30" t="s">
        <v>70</v>
      </c>
    </row>
    <row r="62" spans="1:3" ht="12.75">
      <c r="A62" s="6"/>
      <c r="C62" s="13"/>
    </row>
    <row r="63" spans="1:3" ht="15.75">
      <c r="A63" s="1"/>
      <c r="B63" s="61"/>
      <c r="C63" s="13"/>
    </row>
    <row r="64" spans="1:3" ht="12.75">
      <c r="A64" s="49" t="s">
        <v>77</v>
      </c>
      <c r="B64" s="62">
        <f>B38*D43+B39*D44+B40*D45+F43*B43+F44*B44</f>
        <v>190624.98500817106</v>
      </c>
      <c r="C64" s="43" t="s">
        <v>78</v>
      </c>
    </row>
    <row r="65" ht="12.75">
      <c r="A65" s="63" t="s">
        <v>79</v>
      </c>
    </row>
    <row r="66" spans="1:3" ht="38.25">
      <c r="A66" s="1" t="s">
        <v>80</v>
      </c>
      <c r="B66" s="48" t="s">
        <v>81</v>
      </c>
      <c r="C66" s="48"/>
    </row>
    <row r="67" spans="1:3" ht="12.75">
      <c r="A67" s="6" t="s">
        <v>43</v>
      </c>
      <c r="B67" s="80">
        <v>0.07</v>
      </c>
      <c r="C67">
        <v>0</v>
      </c>
    </row>
    <row r="68" spans="1:3" ht="12.75">
      <c r="A68" s="6" t="s">
        <v>45</v>
      </c>
      <c r="B68" s="80">
        <v>0.1</v>
      </c>
      <c r="C68">
        <f>10^6/2</f>
        <v>500000</v>
      </c>
    </row>
    <row r="69" spans="1:3" ht="12.75">
      <c r="A69" s="6" t="s">
        <v>48</v>
      </c>
      <c r="B69" s="80">
        <v>0.12</v>
      </c>
      <c r="C69">
        <f>10^6</f>
        <v>1000000</v>
      </c>
    </row>
    <row r="70" ht="12.75">
      <c r="A70" s="6"/>
    </row>
    <row r="71" ht="12.75">
      <c r="A71" s="64" t="s">
        <v>82</v>
      </c>
    </row>
    <row r="72" ht="12.75">
      <c r="A72" s="65" t="s">
        <v>83</v>
      </c>
    </row>
    <row r="73" spans="1:3" ht="12.75">
      <c r="A73" s="65" t="s">
        <v>84</v>
      </c>
      <c r="B73" s="80">
        <v>0.1</v>
      </c>
      <c r="C73" t="s">
        <v>85</v>
      </c>
    </row>
    <row r="74" ht="12.75">
      <c r="A74" s="65"/>
    </row>
    <row r="75" spans="1:2" ht="12.75">
      <c r="A75" s="65" t="s">
        <v>86</v>
      </c>
      <c r="B75" s="81">
        <v>5</v>
      </c>
    </row>
    <row r="76" spans="1:5" ht="51">
      <c r="A76" s="54" t="s">
        <v>87</v>
      </c>
      <c r="B76" s="32" t="s">
        <v>88</v>
      </c>
      <c r="C76" s="48" t="s">
        <v>89</v>
      </c>
      <c r="D76" s="48" t="s">
        <v>90</v>
      </c>
      <c r="E76" s="48" t="s">
        <v>91</v>
      </c>
    </row>
    <row r="77" spans="1:5" ht="12.75">
      <c r="A77" s="54" t="s">
        <v>92</v>
      </c>
      <c r="B77" s="82">
        <v>0.5</v>
      </c>
      <c r="C77" s="7">
        <v>0</v>
      </c>
      <c r="D77" s="68">
        <f>$B$82*C77</f>
        <v>0</v>
      </c>
      <c r="E77" s="68">
        <f>$B$73+D77</f>
        <v>0.1</v>
      </c>
    </row>
    <row r="78" spans="1:5" ht="12.75">
      <c r="A78" s="54" t="s">
        <v>93</v>
      </c>
      <c r="B78" s="82">
        <v>0.35</v>
      </c>
      <c r="C78" s="69">
        <v>0.08</v>
      </c>
      <c r="D78" s="68">
        <f>$B$82*C78</f>
        <v>0.045709090909090914</v>
      </c>
      <c r="E78" s="68">
        <f>$B$73+D78</f>
        <v>0.14570909090909093</v>
      </c>
    </row>
    <row r="79" spans="1:5" ht="12.75">
      <c r="A79" s="54" t="s">
        <v>94</v>
      </c>
      <c r="B79" s="82">
        <v>0.15</v>
      </c>
      <c r="C79" s="69">
        <v>0.25</v>
      </c>
      <c r="D79" s="68">
        <f>$B$82*C79</f>
        <v>0.1428409090909091</v>
      </c>
      <c r="E79" s="68">
        <f>$B$73+D79</f>
        <v>0.2428409090909091</v>
      </c>
    </row>
    <row r="80" spans="1:5" ht="12.75">
      <c r="A80" s="54"/>
      <c r="B80" s="83"/>
      <c r="C80" s="71"/>
      <c r="D80" s="72"/>
      <c r="E80" s="72"/>
    </row>
    <row r="81" spans="1:3" ht="12.75">
      <c r="A81" s="65" t="s">
        <v>95</v>
      </c>
      <c r="B81" s="32"/>
      <c r="C81" s="32"/>
    </row>
    <row r="82" spans="1:3" ht="12.75">
      <c r="A82" s="65" t="s">
        <v>96</v>
      </c>
      <c r="B82" s="73">
        <f>2.095*12/(32+12)</f>
        <v>0.5713636363636364</v>
      </c>
      <c r="C82" s="32"/>
    </row>
    <row r="83" spans="1:3" ht="12.75">
      <c r="A83" s="1"/>
      <c r="B83" s="32"/>
      <c r="C83" s="32"/>
    </row>
    <row r="84" ht="12.75">
      <c r="A84" s="1"/>
    </row>
    <row r="85" ht="12.75">
      <c r="A85" s="1"/>
    </row>
    <row r="86" ht="12.75">
      <c r="A86" s="2" t="s">
        <v>97</v>
      </c>
    </row>
    <row r="87" spans="1:6" ht="12.75">
      <c r="A87" s="6" t="s">
        <v>98</v>
      </c>
      <c r="B87" t="s">
        <v>99</v>
      </c>
      <c r="F87" s="74">
        <f>SUMPRODUCT(J20:J24,L20:L24)*B4</f>
        <v>642000</v>
      </c>
    </row>
    <row r="88" spans="1:6" ht="12.75">
      <c r="A88" s="6" t="s">
        <v>100</v>
      </c>
      <c r="B88" t="s">
        <v>101</v>
      </c>
      <c r="F88" s="74">
        <f>SUMPRODUCT(D20:D24,F20:F24)*B4</f>
        <v>1020000</v>
      </c>
    </row>
    <row r="89" spans="1:6" ht="12.75">
      <c r="A89" s="6" t="s">
        <v>102</v>
      </c>
      <c r="B89" t="s">
        <v>103</v>
      </c>
      <c r="F89" s="74">
        <f>B33</f>
        <v>190624.98500817106</v>
      </c>
    </row>
    <row r="90" spans="1:6" ht="12.75">
      <c r="A90" s="6" t="s">
        <v>104</v>
      </c>
      <c r="B90" t="s">
        <v>105</v>
      </c>
      <c r="F90" s="75">
        <v>15</v>
      </c>
    </row>
    <row r="91" spans="1:6" ht="12.75">
      <c r="A91" s="1"/>
      <c r="B91" s="46"/>
      <c r="C91" s="46"/>
      <c r="D91" s="46"/>
      <c r="E91" s="46"/>
      <c r="F91" s="46"/>
    </row>
    <row r="92" spans="1:6" ht="12.75">
      <c r="A92" s="1" t="s">
        <v>106</v>
      </c>
      <c r="B92" s="76" t="s">
        <v>107</v>
      </c>
      <c r="C92" s="76"/>
      <c r="D92" s="46"/>
      <c r="E92" s="46"/>
      <c r="F92" s="77">
        <f>F87+F88+F89*F90</f>
        <v>4521374.775122566</v>
      </c>
    </row>
    <row r="93" spans="1:6" ht="12.75">
      <c r="A93" s="1"/>
      <c r="B93" s="76"/>
      <c r="C93" s="76"/>
      <c r="D93" s="46"/>
      <c r="E93" s="46"/>
      <c r="F93" s="46"/>
    </row>
  </sheetData>
  <mergeCells count="1">
    <mergeCell ref="B8:B9"/>
  </mergeCells>
  <printOptions/>
  <pageMargins left="0.75" right="0.75" top="1" bottom="1" header="0.5" footer="0.5"/>
  <pageSetup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97"/>
  <sheetViews>
    <sheetView zoomScale="70" zoomScaleNormal="70" workbookViewId="0" topLeftCell="A1">
      <pane ySplit="10" topLeftCell="BM59" activePane="bottomLeft" state="frozen"/>
      <selection pane="topLeft" activeCell="A1" sqref="A1"/>
      <selection pane="bottomLeft" activeCell="I73" sqref="I73"/>
    </sheetView>
  </sheetViews>
  <sheetFormatPr defaultColWidth="9.140625" defaultRowHeight="12.75"/>
  <cols>
    <col min="1" max="1" width="36.421875" style="0" customWidth="1"/>
    <col min="2" max="2" width="13.421875" style="0" customWidth="1"/>
    <col min="3" max="4" width="9.7109375" style="0" customWidth="1"/>
    <col min="5" max="5" width="14.28125" style="0" customWidth="1"/>
    <col min="6" max="6" width="18.57421875" style="0" customWidth="1"/>
    <col min="7" max="7" width="14.28125" style="0" customWidth="1"/>
    <col min="12" max="12" width="11.00390625" style="0" customWidth="1"/>
  </cols>
  <sheetData>
    <row r="1" ht="13.5" thickBot="1">
      <c r="A1" s="1"/>
    </row>
    <row r="2" spans="1:12" ht="12.75">
      <c r="A2" s="2" t="s">
        <v>0</v>
      </c>
      <c r="C2" s="2"/>
      <c r="I2" s="3"/>
      <c r="J2" s="4" t="s">
        <v>1</v>
      </c>
      <c r="K2" s="4"/>
      <c r="L2" s="5"/>
    </row>
    <row r="3" spans="1:12" ht="15.75">
      <c r="A3" s="6" t="s">
        <v>2</v>
      </c>
      <c r="B3" s="7">
        <v>750</v>
      </c>
      <c r="I3" s="8"/>
      <c r="J3" s="9" t="s">
        <v>3</v>
      </c>
      <c r="K3" s="9"/>
      <c r="L3" s="10"/>
    </row>
    <row r="4" spans="1:12" ht="12.75">
      <c r="A4" s="6" t="s">
        <v>4</v>
      </c>
      <c r="B4" s="7">
        <v>5</v>
      </c>
      <c r="I4" s="11"/>
      <c r="J4" s="9" t="s">
        <v>5</v>
      </c>
      <c r="K4" s="9"/>
      <c r="L4" s="10"/>
    </row>
    <row r="5" spans="1:12" ht="12.75">
      <c r="A5" s="1"/>
      <c r="I5" s="12"/>
      <c r="J5" s="9" t="s">
        <v>6</v>
      </c>
      <c r="K5" s="9"/>
      <c r="L5" s="10"/>
    </row>
    <row r="6" spans="1:12" ht="13.5" thickBot="1">
      <c r="A6" s="6"/>
      <c r="B6" s="13"/>
      <c r="I6" s="14"/>
      <c r="J6" s="15" t="s">
        <v>7</v>
      </c>
      <c r="K6" s="15"/>
      <c r="L6" s="16"/>
    </row>
    <row r="7" ht="12.75">
      <c r="A7" s="6"/>
    </row>
    <row r="8" spans="1:27" ht="12.75">
      <c r="A8" s="6"/>
      <c r="B8" s="207" t="s">
        <v>8</v>
      </c>
      <c r="C8" s="17" t="s">
        <v>9</v>
      </c>
      <c r="D8" s="17" t="s">
        <v>9</v>
      </c>
      <c r="E8" s="17" t="s">
        <v>9</v>
      </c>
      <c r="F8" s="17" t="s">
        <v>9</v>
      </c>
      <c r="G8" s="17" t="s">
        <v>9</v>
      </c>
      <c r="H8" s="17" t="s">
        <v>10</v>
      </c>
      <c r="I8" s="17" t="s">
        <v>10</v>
      </c>
      <c r="J8" s="17" t="s">
        <v>10</v>
      </c>
      <c r="K8" s="17" t="s">
        <v>10</v>
      </c>
      <c r="L8" s="17" t="s">
        <v>10</v>
      </c>
      <c r="M8" s="17" t="s">
        <v>11</v>
      </c>
      <c r="N8" s="17" t="s">
        <v>11</v>
      </c>
      <c r="O8" s="17" t="s">
        <v>11</v>
      </c>
      <c r="P8" s="17" t="s">
        <v>11</v>
      </c>
      <c r="Q8" s="17" t="s">
        <v>11</v>
      </c>
      <c r="R8" s="17" t="s">
        <v>12</v>
      </c>
      <c r="S8" s="17" t="s">
        <v>12</v>
      </c>
      <c r="T8" s="17" t="s">
        <v>12</v>
      </c>
      <c r="U8" s="17" t="s">
        <v>12</v>
      </c>
      <c r="V8" s="17" t="s">
        <v>12</v>
      </c>
      <c r="W8" s="17" t="s">
        <v>13</v>
      </c>
      <c r="X8" s="17" t="s">
        <v>13</v>
      </c>
      <c r="Y8" s="17" t="s">
        <v>13</v>
      </c>
      <c r="Z8" s="17" t="s">
        <v>13</v>
      </c>
      <c r="AA8" s="17" t="s">
        <v>13</v>
      </c>
    </row>
    <row r="9" spans="1:27" ht="12.75">
      <c r="A9" s="6"/>
      <c r="B9" s="207"/>
      <c r="C9" s="17" t="s">
        <v>14</v>
      </c>
      <c r="D9" s="17" t="s">
        <v>15</v>
      </c>
      <c r="E9" s="17" t="s">
        <v>16</v>
      </c>
      <c r="F9" s="17" t="s">
        <v>17</v>
      </c>
      <c r="G9" s="17" t="s">
        <v>18</v>
      </c>
      <c r="H9" s="17" t="s">
        <v>14</v>
      </c>
      <c r="I9" s="17" t="s">
        <v>15</v>
      </c>
      <c r="J9" s="17" t="s">
        <v>16</v>
      </c>
      <c r="K9" s="17" t="s">
        <v>17</v>
      </c>
      <c r="L9" s="17" t="s">
        <v>18</v>
      </c>
      <c r="M9" s="17" t="s">
        <v>14</v>
      </c>
      <c r="N9" s="17" t="s">
        <v>15</v>
      </c>
      <c r="O9" s="17" t="s">
        <v>16</v>
      </c>
      <c r="P9" s="17" t="s">
        <v>17</v>
      </c>
      <c r="Q9" s="17" t="s">
        <v>18</v>
      </c>
      <c r="R9" s="17" t="s">
        <v>14</v>
      </c>
      <c r="S9" s="17" t="s">
        <v>15</v>
      </c>
      <c r="T9" s="17" t="s">
        <v>16</v>
      </c>
      <c r="U9" s="17" t="s">
        <v>17</v>
      </c>
      <c r="V9" s="17" t="s">
        <v>18</v>
      </c>
      <c r="W9" s="17" t="s">
        <v>14</v>
      </c>
      <c r="X9" s="17" t="s">
        <v>15</v>
      </c>
      <c r="Y9" s="17" t="s">
        <v>16</v>
      </c>
      <c r="Z9" s="17" t="s">
        <v>17</v>
      </c>
      <c r="AA9" s="17" t="s">
        <v>18</v>
      </c>
    </row>
    <row r="10" spans="1:27" ht="15.75">
      <c r="A10" s="6"/>
      <c r="B10" s="18" t="s">
        <v>19</v>
      </c>
      <c r="C10" s="19">
        <v>0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</row>
    <row r="11" spans="1:27" ht="28.5">
      <c r="A11" s="6"/>
      <c r="B11" s="22" t="s">
        <v>20</v>
      </c>
      <c r="C11" s="20">
        <v>0.72</v>
      </c>
      <c r="D11" s="20">
        <v>0.72</v>
      </c>
      <c r="E11" s="20">
        <v>0.72</v>
      </c>
      <c r="F11" s="20">
        <v>0.72</v>
      </c>
      <c r="G11" s="20">
        <v>0.72</v>
      </c>
      <c r="H11" s="20">
        <v>0.7</v>
      </c>
      <c r="I11" s="20">
        <v>0.7</v>
      </c>
      <c r="J11" s="20">
        <v>0.7</v>
      </c>
      <c r="K11" s="20">
        <v>0.7</v>
      </c>
      <c r="L11" s="20">
        <v>0.7</v>
      </c>
      <c r="M11" s="20">
        <v>0.69</v>
      </c>
      <c r="N11" s="20">
        <v>0.69</v>
      </c>
      <c r="O11" s="20">
        <v>0.69</v>
      </c>
      <c r="P11" s="20">
        <v>0.69</v>
      </c>
      <c r="Q11" s="20">
        <v>0.69</v>
      </c>
      <c r="R11" s="20">
        <v>0.67</v>
      </c>
      <c r="S11" s="20">
        <v>0.67</v>
      </c>
      <c r="T11" s="20">
        <v>0.67</v>
      </c>
      <c r="U11" s="20">
        <v>0.67</v>
      </c>
      <c r="V11" s="20">
        <v>0.67</v>
      </c>
      <c r="W11" s="20">
        <v>0.65</v>
      </c>
      <c r="X11" s="20">
        <v>0.65</v>
      </c>
      <c r="Y11" s="20">
        <v>0.65</v>
      </c>
      <c r="Z11" s="20">
        <v>0.65</v>
      </c>
      <c r="AA11" s="20">
        <v>0.65</v>
      </c>
    </row>
    <row r="12" spans="1:27" ht="28.5">
      <c r="A12" s="6"/>
      <c r="B12" s="22" t="s">
        <v>21</v>
      </c>
      <c r="C12" s="21">
        <f>M20</f>
        <v>0.89</v>
      </c>
      <c r="D12" s="21">
        <f>C12</f>
        <v>0.89</v>
      </c>
      <c r="E12" s="21">
        <f>D12</f>
        <v>0.89</v>
      </c>
      <c r="F12" s="21">
        <f>E12</f>
        <v>0.89</v>
      </c>
      <c r="G12" s="21">
        <f>F12</f>
        <v>0.89</v>
      </c>
      <c r="H12" s="21">
        <f>M21</f>
        <v>0.88</v>
      </c>
      <c r="I12" s="21">
        <f>H12</f>
        <v>0.88</v>
      </c>
      <c r="J12" s="21">
        <f>I12</f>
        <v>0.88</v>
      </c>
      <c r="K12" s="21">
        <f>J12</f>
        <v>0.88</v>
      </c>
      <c r="L12" s="21">
        <f>K12</f>
        <v>0.88</v>
      </c>
      <c r="M12" s="21">
        <f>M22</f>
        <v>0.87</v>
      </c>
      <c r="N12" s="21">
        <f>M12</f>
        <v>0.87</v>
      </c>
      <c r="O12" s="21">
        <f>N12</f>
        <v>0.87</v>
      </c>
      <c r="P12" s="21">
        <f>O12</f>
        <v>0.87</v>
      </c>
      <c r="Q12" s="21">
        <f>P12</f>
        <v>0.87</v>
      </c>
      <c r="R12" s="21">
        <f>M23</f>
        <v>0.88</v>
      </c>
      <c r="S12" s="21">
        <f>R12</f>
        <v>0.88</v>
      </c>
      <c r="T12" s="21">
        <f>S12</f>
        <v>0.88</v>
      </c>
      <c r="U12" s="21">
        <f>T12</f>
        <v>0.88</v>
      </c>
      <c r="V12" s="21">
        <f>U12</f>
        <v>0.88</v>
      </c>
      <c r="W12" s="21">
        <f>M24</f>
        <v>0.87</v>
      </c>
      <c r="X12" s="21">
        <f aca="true" t="shared" si="0" ref="X12:AA13">W12</f>
        <v>0.87</v>
      </c>
      <c r="Y12" s="21">
        <f t="shared" si="0"/>
        <v>0.87</v>
      </c>
      <c r="Z12" s="21">
        <f t="shared" si="0"/>
        <v>0.87</v>
      </c>
      <c r="AA12" s="21">
        <f t="shared" si="0"/>
        <v>0.87</v>
      </c>
    </row>
    <row r="13" spans="1:27" ht="41.25">
      <c r="A13" s="6"/>
      <c r="B13" s="22" t="s">
        <v>22</v>
      </c>
      <c r="C13" s="21">
        <f>$K$20</f>
        <v>42</v>
      </c>
      <c r="D13" s="21">
        <f>$K$20</f>
        <v>42</v>
      </c>
      <c r="E13" s="21">
        <f>$K$20</f>
        <v>42</v>
      </c>
      <c r="F13" s="21">
        <f>$K$20</f>
        <v>42</v>
      </c>
      <c r="G13" s="21">
        <f>$K$20</f>
        <v>42</v>
      </c>
      <c r="H13" s="21">
        <f>$K$21</f>
        <v>57</v>
      </c>
      <c r="I13" s="21">
        <f>$K$21</f>
        <v>57</v>
      </c>
      <c r="J13" s="21">
        <f>$K$21</f>
        <v>57</v>
      </c>
      <c r="K13" s="21">
        <f>$K$21</f>
        <v>57</v>
      </c>
      <c r="L13" s="21">
        <f>$K$21</f>
        <v>57</v>
      </c>
      <c r="M13" s="21">
        <f>$K$22</f>
        <v>60</v>
      </c>
      <c r="N13" s="21">
        <f>$K$22</f>
        <v>60</v>
      </c>
      <c r="O13" s="21">
        <f>$K$22</f>
        <v>60</v>
      </c>
      <c r="P13" s="21">
        <f>$K$22</f>
        <v>60</v>
      </c>
      <c r="Q13" s="21">
        <f>$K$22</f>
        <v>60</v>
      </c>
      <c r="R13" s="21">
        <f>$K$23</f>
        <v>65</v>
      </c>
      <c r="S13" s="21">
        <f>$K$23</f>
        <v>65</v>
      </c>
      <c r="T13" s="21">
        <f>$K$23</f>
        <v>65</v>
      </c>
      <c r="U13" s="21">
        <f>$K$23</f>
        <v>65</v>
      </c>
      <c r="V13" s="21">
        <f>$K$23</f>
        <v>65</v>
      </c>
      <c r="W13" s="21">
        <f>K24</f>
        <v>92</v>
      </c>
      <c r="X13" s="21">
        <f t="shared" si="0"/>
        <v>92</v>
      </c>
      <c r="Y13" s="21">
        <f t="shared" si="0"/>
        <v>92</v>
      </c>
      <c r="Z13" s="21">
        <f t="shared" si="0"/>
        <v>92</v>
      </c>
      <c r="AA13" s="21">
        <f t="shared" si="0"/>
        <v>92</v>
      </c>
    </row>
    <row r="14" spans="1:27" ht="28.5">
      <c r="A14" s="6"/>
      <c r="B14" s="22" t="s">
        <v>23</v>
      </c>
      <c r="C14" s="23">
        <f>$E$20</f>
        <v>356</v>
      </c>
      <c r="D14" s="23">
        <f>$E$21</f>
        <v>90</v>
      </c>
      <c r="E14" s="23">
        <f>$E$22</f>
        <v>53</v>
      </c>
      <c r="F14" s="23">
        <f>$E$23</f>
        <v>44</v>
      </c>
      <c r="G14" s="23">
        <f>$E$24</f>
        <v>41</v>
      </c>
      <c r="H14" s="23">
        <f>$E$20</f>
        <v>356</v>
      </c>
      <c r="I14" s="23">
        <f>$E$21</f>
        <v>90</v>
      </c>
      <c r="J14" s="23">
        <f>$E$22</f>
        <v>53</v>
      </c>
      <c r="K14" s="23">
        <f>$E$23</f>
        <v>44</v>
      </c>
      <c r="L14" s="23">
        <f>$E$24</f>
        <v>41</v>
      </c>
      <c r="M14" s="23">
        <f>$E$20</f>
        <v>356</v>
      </c>
      <c r="N14" s="23">
        <f>$E$21</f>
        <v>90</v>
      </c>
      <c r="O14" s="23">
        <f>$E$22</f>
        <v>53</v>
      </c>
      <c r="P14" s="23">
        <f>$E$23</f>
        <v>44</v>
      </c>
      <c r="Q14" s="23">
        <f>$E$24</f>
        <v>41</v>
      </c>
      <c r="R14" s="23">
        <f>$E$20</f>
        <v>356</v>
      </c>
      <c r="S14" s="23">
        <f>$E$21</f>
        <v>90</v>
      </c>
      <c r="T14" s="23">
        <f>$E$22</f>
        <v>53</v>
      </c>
      <c r="U14" s="23">
        <f>$E$23</f>
        <v>44</v>
      </c>
      <c r="V14" s="23">
        <f>$E$24</f>
        <v>41</v>
      </c>
      <c r="W14" s="23">
        <f>$E$20</f>
        <v>356</v>
      </c>
      <c r="X14" s="23">
        <f>$E$21</f>
        <v>90</v>
      </c>
      <c r="Y14" s="23">
        <f>$E$22</f>
        <v>53</v>
      </c>
      <c r="Z14" s="23">
        <f>$E$23</f>
        <v>44</v>
      </c>
      <c r="AA14" s="23">
        <f>$E$24</f>
        <v>41</v>
      </c>
    </row>
    <row r="15" spans="1:27" ht="57">
      <c r="A15" s="6"/>
      <c r="B15" s="22" t="s">
        <v>24</v>
      </c>
      <c r="C15" s="24">
        <f aca="true" t="shared" si="1" ref="C15:AA15">(C14*$B$3)/(33000*C11)*8.34</f>
        <v>93.71969696969697</v>
      </c>
      <c r="D15" s="24">
        <f t="shared" si="1"/>
        <v>23.693181818181817</v>
      </c>
      <c r="E15" s="24">
        <f t="shared" si="1"/>
        <v>13.952651515151516</v>
      </c>
      <c r="F15" s="24">
        <f t="shared" si="1"/>
        <v>11.583333333333332</v>
      </c>
      <c r="G15" s="24">
        <f t="shared" si="1"/>
        <v>10.793560606060606</v>
      </c>
      <c r="H15" s="24">
        <f t="shared" si="1"/>
        <v>96.39740259740259</v>
      </c>
      <c r="I15" s="24">
        <f t="shared" si="1"/>
        <v>24.370129870129873</v>
      </c>
      <c r="J15" s="24">
        <f t="shared" si="1"/>
        <v>14.3512987012987</v>
      </c>
      <c r="K15" s="24">
        <f t="shared" si="1"/>
        <v>11.914285714285715</v>
      </c>
      <c r="L15" s="24">
        <f t="shared" si="1"/>
        <v>11.101948051948051</v>
      </c>
      <c r="M15" s="24">
        <f t="shared" si="1"/>
        <v>97.79446640316206</v>
      </c>
      <c r="N15" s="24">
        <f t="shared" si="1"/>
        <v>24.72332015810277</v>
      </c>
      <c r="O15" s="24">
        <f t="shared" si="1"/>
        <v>14.559288537549408</v>
      </c>
      <c r="P15" s="24">
        <f t="shared" si="1"/>
        <v>12.08695652173913</v>
      </c>
      <c r="Q15" s="24">
        <f t="shared" si="1"/>
        <v>11.262845849802371</v>
      </c>
      <c r="R15" s="24">
        <f t="shared" si="1"/>
        <v>100.71370420624152</v>
      </c>
      <c r="S15" s="24">
        <f t="shared" si="1"/>
        <v>25.46132971506106</v>
      </c>
      <c r="T15" s="24">
        <f t="shared" si="1"/>
        <v>14.993894165535956</v>
      </c>
      <c r="U15" s="24">
        <f t="shared" si="1"/>
        <v>12.447761194029852</v>
      </c>
      <c r="V15" s="24">
        <f t="shared" si="1"/>
        <v>11.599050203527815</v>
      </c>
      <c r="W15" s="24">
        <f t="shared" si="1"/>
        <v>103.81258741258742</v>
      </c>
      <c r="X15" s="24">
        <f t="shared" si="1"/>
        <v>26.244755244755243</v>
      </c>
      <c r="Y15" s="24">
        <f t="shared" si="1"/>
        <v>15.455244755244754</v>
      </c>
      <c r="Z15" s="24">
        <f t="shared" si="1"/>
        <v>12.830769230769231</v>
      </c>
      <c r="AA15" s="24">
        <f t="shared" si="1"/>
        <v>11.955944055944055</v>
      </c>
    </row>
    <row r="16" spans="1:27" ht="41.25">
      <c r="A16" s="6"/>
      <c r="B16" s="22" t="s">
        <v>25</v>
      </c>
      <c r="C16" s="24">
        <f aca="true" t="shared" si="2" ref="C16:AA16">C15*0.7457/C12</f>
        <v>78.5244696969697</v>
      </c>
      <c r="D16" s="24">
        <f t="shared" si="2"/>
        <v>19.851691777323797</v>
      </c>
      <c r="E16" s="24">
        <f t="shared" si="2"/>
        <v>11.690440713312904</v>
      </c>
      <c r="F16" s="24">
        <f t="shared" si="2"/>
        <v>9.705271535580524</v>
      </c>
      <c r="G16" s="24">
        <f t="shared" si="2"/>
        <v>9.043548476336397</v>
      </c>
      <c r="H16" s="24">
        <f t="shared" si="2"/>
        <v>81.68584445100355</v>
      </c>
      <c r="I16" s="24">
        <f t="shared" si="2"/>
        <v>20.65091573199528</v>
      </c>
      <c r="J16" s="24">
        <f t="shared" si="2"/>
        <v>12.161094819952774</v>
      </c>
      <c r="K16" s="24">
        <f t="shared" si="2"/>
        <v>10.096003246753249</v>
      </c>
      <c r="L16" s="24">
        <f t="shared" si="2"/>
        <v>9.407639389020071</v>
      </c>
      <c r="M16" s="24">
        <f t="shared" si="2"/>
        <v>83.8222225251011</v>
      </c>
      <c r="N16" s="24">
        <f t="shared" si="2"/>
        <v>21.191011312525557</v>
      </c>
      <c r="O16" s="24">
        <f t="shared" si="2"/>
        <v>12.47915110626505</v>
      </c>
      <c r="P16" s="24">
        <f t="shared" si="2"/>
        <v>10.360049975012494</v>
      </c>
      <c r="Q16" s="24">
        <f t="shared" si="2"/>
        <v>9.653682931261642</v>
      </c>
      <c r="R16" s="24">
        <f t="shared" si="2"/>
        <v>85.34341957567534</v>
      </c>
      <c r="S16" s="24">
        <f t="shared" si="2"/>
        <v>21.575583600592083</v>
      </c>
      <c r="T16" s="24">
        <f t="shared" si="2"/>
        <v>12.705621453682003</v>
      </c>
      <c r="U16" s="24">
        <f t="shared" si="2"/>
        <v>10.548063093622797</v>
      </c>
      <c r="V16" s="24">
        <f t="shared" si="2"/>
        <v>9.828876973603059</v>
      </c>
      <c r="W16" s="24">
        <f t="shared" si="2"/>
        <v>88.98051314203039</v>
      </c>
      <c r="X16" s="24">
        <f t="shared" si="2"/>
        <v>22.49507354714251</v>
      </c>
      <c r="Y16" s="24">
        <f t="shared" si="2"/>
        <v>13.247098866650589</v>
      </c>
      <c r="Z16" s="24">
        <f t="shared" si="2"/>
        <v>10.99759151193634</v>
      </c>
      <c r="AA16" s="24">
        <f t="shared" si="2"/>
        <v>10.247755727031588</v>
      </c>
    </row>
    <row r="17" spans="1:27" ht="12.7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2.75">
      <c r="A18" s="25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54">
      <c r="A19" s="25"/>
      <c r="B19" s="22" t="s">
        <v>26</v>
      </c>
      <c r="C19" s="28" t="s">
        <v>27</v>
      </c>
      <c r="D19" s="29" t="s">
        <v>28</v>
      </c>
      <c r="E19" s="29" t="s">
        <v>23</v>
      </c>
      <c r="F19" s="28" t="s">
        <v>29</v>
      </c>
      <c r="H19" s="22" t="s">
        <v>30</v>
      </c>
      <c r="I19" s="28" t="s">
        <v>31</v>
      </c>
      <c r="J19" s="29" t="s">
        <v>28</v>
      </c>
      <c r="K19" s="29" t="s">
        <v>22</v>
      </c>
      <c r="L19" s="29" t="s">
        <v>29</v>
      </c>
      <c r="M19" s="29" t="s">
        <v>32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2.75">
      <c r="A20" s="25"/>
      <c r="B20" s="18">
        <v>4</v>
      </c>
      <c r="C20" s="28" t="s">
        <v>14</v>
      </c>
      <c r="D20" s="30">
        <f>C10+H10+M10+R10+W10</f>
        <v>0</v>
      </c>
      <c r="E20" s="23">
        <v>356</v>
      </c>
      <c r="F20" s="78">
        <v>15000</v>
      </c>
      <c r="G20" s="32"/>
      <c r="H20" s="18">
        <v>12</v>
      </c>
      <c r="I20" s="28" t="s">
        <v>9</v>
      </c>
      <c r="J20" s="30">
        <f>SUM(C10:G10)</f>
        <v>1</v>
      </c>
      <c r="K20" s="21">
        <v>42</v>
      </c>
      <c r="L20" s="78">
        <v>32100</v>
      </c>
      <c r="M20" s="21">
        <v>0.89</v>
      </c>
      <c r="N20" s="27"/>
      <c r="O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2.75">
      <c r="A21" s="25"/>
      <c r="B21" s="18">
        <v>6</v>
      </c>
      <c r="C21" s="28" t="s">
        <v>15</v>
      </c>
      <c r="D21" s="30">
        <f>D10+I10+N10+S10+X10</f>
        <v>0</v>
      </c>
      <c r="E21" s="23">
        <v>90</v>
      </c>
      <c r="F21" s="78">
        <v>19500</v>
      </c>
      <c r="G21" s="32"/>
      <c r="H21" s="18">
        <v>18</v>
      </c>
      <c r="I21" s="28" t="s">
        <v>10</v>
      </c>
      <c r="J21" s="30">
        <f>SUM(H10:L10)</f>
        <v>0</v>
      </c>
      <c r="K21" s="21">
        <v>57</v>
      </c>
      <c r="L21" s="78">
        <v>35400</v>
      </c>
      <c r="M21" s="21">
        <v>0.88</v>
      </c>
      <c r="N21" s="27"/>
      <c r="O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2.75">
      <c r="A22" s="25"/>
      <c r="B22" s="18">
        <v>8</v>
      </c>
      <c r="C22" s="28" t="s">
        <v>16</v>
      </c>
      <c r="D22" s="30">
        <f>E10+J10+O10+T10+Y10</f>
        <v>0</v>
      </c>
      <c r="E22" s="23">
        <v>53</v>
      </c>
      <c r="F22" s="78">
        <v>28500</v>
      </c>
      <c r="G22" s="32"/>
      <c r="H22" s="18">
        <v>20</v>
      </c>
      <c r="I22" s="28" t="s">
        <v>11</v>
      </c>
      <c r="J22" s="30">
        <f>SUM(M10:Q10)</f>
        <v>0</v>
      </c>
      <c r="K22" s="21">
        <v>60</v>
      </c>
      <c r="L22" s="78">
        <v>49100</v>
      </c>
      <c r="M22" s="21">
        <v>0.87</v>
      </c>
      <c r="N22" s="27"/>
      <c r="O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2.75">
      <c r="A23" s="25"/>
      <c r="B23" s="18">
        <v>10</v>
      </c>
      <c r="C23" s="28" t="s">
        <v>17</v>
      </c>
      <c r="D23" s="30">
        <f>F10+K10+P10+U10+Z10</f>
        <v>0</v>
      </c>
      <c r="E23" s="23">
        <v>44</v>
      </c>
      <c r="F23" s="78">
        <v>40000</v>
      </c>
      <c r="G23" s="32"/>
      <c r="H23" s="18">
        <v>25</v>
      </c>
      <c r="I23" s="28" t="s">
        <v>12</v>
      </c>
      <c r="J23" s="30">
        <f>SUM(R10:V10)</f>
        <v>0</v>
      </c>
      <c r="K23" s="21">
        <v>65</v>
      </c>
      <c r="L23" s="78">
        <v>49100</v>
      </c>
      <c r="M23" s="21">
        <v>0.88</v>
      </c>
      <c r="N23" s="27"/>
      <c r="O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2.75">
      <c r="A24" s="25"/>
      <c r="B24" s="18">
        <v>12</v>
      </c>
      <c r="C24" s="28" t="s">
        <v>18</v>
      </c>
      <c r="D24" s="30">
        <f>G10+L10+Q10+V10+AA10</f>
        <v>1</v>
      </c>
      <c r="E24" s="23">
        <v>41</v>
      </c>
      <c r="F24" s="78">
        <v>51000</v>
      </c>
      <c r="G24" s="32"/>
      <c r="H24" s="18">
        <v>30</v>
      </c>
      <c r="I24" s="28" t="s">
        <v>13</v>
      </c>
      <c r="J24" s="30">
        <f>SUM(W10:AA10)</f>
        <v>0</v>
      </c>
      <c r="K24" s="21">
        <v>92</v>
      </c>
      <c r="L24" s="78">
        <v>57500</v>
      </c>
      <c r="M24" s="21">
        <v>0.87</v>
      </c>
      <c r="N24" s="27"/>
      <c r="O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2.75">
      <c r="A25" s="6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3" ht="12.75">
      <c r="A26" s="35" t="s">
        <v>33</v>
      </c>
      <c r="B26" s="36">
        <f>SUMPRODUCT(C16:AA16,C10:AA10)</f>
        <v>9.043548476336397</v>
      </c>
      <c r="C26" s="32"/>
    </row>
    <row r="27" spans="1:3" ht="12.75">
      <c r="A27" s="35"/>
      <c r="B27" s="37"/>
      <c r="C27" s="32"/>
    </row>
    <row r="28" spans="1:2" ht="12.75">
      <c r="A28" s="38" t="s">
        <v>34</v>
      </c>
      <c r="B28" s="7">
        <v>0.95</v>
      </c>
    </row>
    <row r="29" spans="1:3" ht="12.75">
      <c r="A29" s="35" t="s">
        <v>35</v>
      </c>
      <c r="B29" s="39">
        <f>365*24*B28</f>
        <v>8322</v>
      </c>
      <c r="C29" s="32"/>
    </row>
    <row r="30" spans="1:3" ht="12.75">
      <c r="A30" s="35"/>
      <c r="C30" s="32"/>
    </row>
    <row r="31" spans="1:3" ht="12.75">
      <c r="A31" s="35" t="s">
        <v>36</v>
      </c>
      <c r="B31" s="24">
        <f>B26*B29</f>
        <v>75260.4104200715</v>
      </c>
      <c r="C31" s="32"/>
    </row>
    <row r="32" spans="1:12" ht="38.25">
      <c r="A32" s="35" t="s">
        <v>37</v>
      </c>
      <c r="B32" s="24">
        <f>B31*B4</f>
        <v>376302.0521003575</v>
      </c>
      <c r="C32" s="32">
        <f>B32/1000</f>
        <v>376.30205210035746</v>
      </c>
      <c r="D32" s="35" t="s">
        <v>113</v>
      </c>
      <c r="G32" s="40"/>
      <c r="H32" s="32"/>
      <c r="I32" s="41"/>
      <c r="J32" s="32"/>
      <c r="K32" s="32"/>
      <c r="L32" s="32"/>
    </row>
    <row r="33" spans="1:12" ht="12.75">
      <c r="A33" s="35" t="s">
        <v>38</v>
      </c>
      <c r="B33" s="79">
        <f>B66</f>
        <v>45156.246252042765</v>
      </c>
      <c r="C33" s="43"/>
      <c r="G33" s="40"/>
      <c r="H33" s="32"/>
      <c r="I33" s="32"/>
      <c r="J33" s="32"/>
      <c r="K33" s="32"/>
      <c r="L33" s="32"/>
    </row>
    <row r="34" spans="1:3" ht="12.75">
      <c r="A34" s="44"/>
      <c r="B34" s="45"/>
      <c r="C34" s="32"/>
    </row>
    <row r="35" spans="1:2" ht="12.75">
      <c r="A35" s="46" t="s">
        <v>39</v>
      </c>
      <c r="B35" s="32"/>
    </row>
    <row r="36" ht="12.75">
      <c r="A36" s="47"/>
    </row>
    <row r="37" spans="1:4" ht="63.75">
      <c r="A37" s="1" t="s">
        <v>40</v>
      </c>
      <c r="B37" s="48" t="s">
        <v>112</v>
      </c>
      <c r="D37" s="48" t="s">
        <v>111</v>
      </c>
    </row>
    <row r="38" spans="1:4" ht="12.75">
      <c r="A38" s="49" t="s">
        <v>43</v>
      </c>
      <c r="B38" s="84">
        <v>120</v>
      </c>
      <c r="C38" t="s">
        <v>44</v>
      </c>
      <c r="D38" s="7">
        <v>0</v>
      </c>
    </row>
    <row r="39" spans="1:5" ht="12.75">
      <c r="A39" s="49" t="s">
        <v>45</v>
      </c>
      <c r="B39" s="84">
        <v>100</v>
      </c>
      <c r="C39" t="s">
        <v>46</v>
      </c>
      <c r="D39" s="7">
        <f>10^3/2</f>
        <v>500</v>
      </c>
      <c r="E39" t="s">
        <v>47</v>
      </c>
    </row>
    <row r="40" spans="1:5" ht="12.75">
      <c r="A40" s="49" t="s">
        <v>48</v>
      </c>
      <c r="B40" s="84">
        <v>70</v>
      </c>
      <c r="C40" t="s">
        <v>49</v>
      </c>
      <c r="D40" s="7">
        <f>10^3</f>
        <v>1000</v>
      </c>
      <c r="E40" t="s">
        <v>50</v>
      </c>
    </row>
    <row r="41" ht="12.75">
      <c r="A41" s="6"/>
    </row>
    <row r="42" spans="1:3" ht="12.75">
      <c r="A42" s="6" t="s">
        <v>51</v>
      </c>
      <c r="B42" s="32"/>
      <c r="C42" s="32"/>
    </row>
    <row r="43" spans="1:6" ht="12.75">
      <c r="A43" s="6" t="s">
        <v>52</v>
      </c>
      <c r="B43" s="19">
        <v>0</v>
      </c>
      <c r="C43" s="51" t="s">
        <v>53</v>
      </c>
      <c r="D43" s="52">
        <v>376.3020521003564</v>
      </c>
      <c r="E43" s="51" t="s">
        <v>54</v>
      </c>
      <c r="F43" s="53">
        <f>B39*D39-B38*D39</f>
        <v>-10000</v>
      </c>
    </row>
    <row r="44" spans="1:6" ht="12.75">
      <c r="A44" s="6" t="s">
        <v>55</v>
      </c>
      <c r="B44" s="19">
        <v>0</v>
      </c>
      <c r="C44" s="51" t="s">
        <v>56</v>
      </c>
      <c r="D44" s="52">
        <v>0</v>
      </c>
      <c r="E44" s="51" t="s">
        <v>57</v>
      </c>
      <c r="F44" s="53">
        <f>B40*(D39+D40)-B39*(D39+D40)</f>
        <v>-45000</v>
      </c>
    </row>
    <row r="45" spans="1:4" ht="12.75">
      <c r="A45" s="54" t="s">
        <v>58</v>
      </c>
      <c r="B45" s="28">
        <f>SUM(B43:B44)</f>
        <v>0</v>
      </c>
      <c r="C45" s="51" t="s">
        <v>59</v>
      </c>
      <c r="D45" s="52">
        <v>0</v>
      </c>
    </row>
    <row r="46" spans="1:4" ht="12.75">
      <c r="A46" s="1"/>
      <c r="B46" s="32"/>
      <c r="C46" s="51" t="s">
        <v>60</v>
      </c>
      <c r="D46" s="56">
        <f>SUM(D43:D45)</f>
        <v>376.3020521003564</v>
      </c>
    </row>
    <row r="47" spans="1:4" ht="12.75">
      <c r="A47" s="1"/>
      <c r="B47" s="32"/>
      <c r="C47" s="51"/>
      <c r="D47" s="57"/>
    </row>
    <row r="48" ht="12.75">
      <c r="A48" s="6"/>
    </row>
    <row r="49" spans="1:4" ht="12.75">
      <c r="A49" s="49" t="s">
        <v>61</v>
      </c>
      <c r="B49" s="17" t="s">
        <v>62</v>
      </c>
      <c r="C49" s="58" t="s">
        <v>63</v>
      </c>
      <c r="D49" s="17" t="s">
        <v>64</v>
      </c>
    </row>
    <row r="50" spans="1:3" ht="15.75">
      <c r="A50" s="6" t="s">
        <v>65</v>
      </c>
      <c r="C50" s="59" t="s">
        <v>66</v>
      </c>
    </row>
    <row r="51" spans="1:4" ht="12.75">
      <c r="A51" s="6" t="s">
        <v>114</v>
      </c>
      <c r="B51">
        <f>SUMPRODUCT(C10:AA10,C14:AA14)-SUMPRODUCT(C10:AA10,C13:AA13)</f>
        <v>-1</v>
      </c>
      <c r="C51" s="28" t="s">
        <v>68</v>
      </c>
      <c r="D51">
        <v>0</v>
      </c>
    </row>
    <row r="52" spans="1:4" ht="12.75">
      <c r="A52" s="6" t="s">
        <v>69</v>
      </c>
      <c r="B52">
        <f>SUM(C10:AA10)</f>
        <v>1</v>
      </c>
      <c r="C52" s="28" t="s">
        <v>70</v>
      </c>
      <c r="D52">
        <v>1</v>
      </c>
    </row>
    <row r="53" spans="1:6" ht="12.75">
      <c r="A53" s="6" t="s">
        <v>108</v>
      </c>
      <c r="B53">
        <f>D39*B43-D43</f>
        <v>-376.3020521003564</v>
      </c>
      <c r="C53" s="30" t="s">
        <v>68</v>
      </c>
      <c r="D53">
        <v>0</v>
      </c>
      <c r="F53" s="60"/>
    </row>
    <row r="54" spans="1:4" ht="12.75">
      <c r="A54" s="6" t="s">
        <v>115</v>
      </c>
      <c r="B54" s="60">
        <f>D43-D39</f>
        <v>-123.69794789964362</v>
      </c>
      <c r="C54" s="30" t="s">
        <v>68</v>
      </c>
      <c r="D54">
        <v>0</v>
      </c>
    </row>
    <row r="55" spans="1:4" ht="12.75">
      <c r="A55" s="6" t="s">
        <v>109</v>
      </c>
      <c r="B55">
        <f>(D40-D39)*B44-D44</f>
        <v>0</v>
      </c>
      <c r="C55" s="30" t="s">
        <v>68</v>
      </c>
      <c r="D55">
        <v>0</v>
      </c>
    </row>
    <row r="56" spans="1:4" ht="12.75">
      <c r="A56" s="6" t="s">
        <v>110</v>
      </c>
      <c r="B56">
        <f>D44-(D40-D39)*B43</f>
        <v>0</v>
      </c>
      <c r="C56" s="30" t="s">
        <v>68</v>
      </c>
      <c r="D56">
        <v>0</v>
      </c>
    </row>
    <row r="57" spans="1:3" ht="12.75">
      <c r="A57" s="6" t="s">
        <v>116</v>
      </c>
      <c r="C57" s="30" t="s">
        <v>68</v>
      </c>
    </row>
    <row r="58" spans="1:4" ht="12.75">
      <c r="A58" s="6" t="s">
        <v>73</v>
      </c>
      <c r="B58">
        <f>D45-10^4*B44</f>
        <v>0</v>
      </c>
      <c r="C58" s="30" t="s">
        <v>68</v>
      </c>
      <c r="D58">
        <v>0</v>
      </c>
    </row>
    <row r="59" spans="1:5" ht="12.75">
      <c r="A59" s="6" t="s">
        <v>74</v>
      </c>
      <c r="B59" s="60">
        <f>SUM(D43:D45)-C32</f>
        <v>-1.0800249583553523E-12</v>
      </c>
      <c r="C59" s="30" t="s">
        <v>70</v>
      </c>
      <c r="D59">
        <v>0</v>
      </c>
      <c r="E59" s="60"/>
    </row>
    <row r="60" spans="1:3" ht="12.75">
      <c r="A60" s="6" t="s">
        <v>75</v>
      </c>
      <c r="C60" s="30" t="s">
        <v>70</v>
      </c>
    </row>
    <row r="61" spans="1:3" ht="12.75">
      <c r="A61" s="6" t="s">
        <v>76</v>
      </c>
      <c r="C61" s="30" t="s">
        <v>70</v>
      </c>
    </row>
    <row r="62" spans="1:3" ht="12.75">
      <c r="A62" s="6"/>
      <c r="C62" s="13"/>
    </row>
    <row r="63" spans="1:6" ht="15.75">
      <c r="A63" s="99" t="s">
        <v>198</v>
      </c>
      <c r="B63" s="100"/>
      <c r="C63" s="101"/>
      <c r="D63" s="100"/>
      <c r="E63" s="100"/>
      <c r="F63" s="102"/>
    </row>
    <row r="64" spans="1:6" ht="12.75">
      <c r="A64" s="103" t="s">
        <v>88</v>
      </c>
      <c r="B64" s="104">
        <v>0.5</v>
      </c>
      <c r="C64" s="105"/>
      <c r="D64" s="106"/>
      <c r="E64" s="106"/>
      <c r="F64" s="107"/>
    </row>
    <row r="65" spans="1:9" ht="5.25" customHeight="1">
      <c r="A65" s="103"/>
      <c r="B65" s="108"/>
      <c r="C65" s="105"/>
      <c r="D65" s="106"/>
      <c r="E65" s="106"/>
      <c r="F65" s="107"/>
      <c r="I65" s="32"/>
    </row>
    <row r="66" spans="1:7" ht="13.5" customHeight="1">
      <c r="A66" s="109" t="s">
        <v>206</v>
      </c>
      <c r="B66" s="110">
        <f>B38*D43+B39*D44+B40*D45+F43*B43+F44*B44</f>
        <v>45156.246252042765</v>
      </c>
      <c r="C66" s="111" t="s">
        <v>78</v>
      </c>
      <c r="D66" s="112"/>
      <c r="E66" s="112"/>
      <c r="F66" s="113"/>
      <c r="G66" s="94"/>
    </row>
    <row r="67" ht="7.5" customHeight="1">
      <c r="C67" s="43"/>
    </row>
    <row r="68" spans="1:6" ht="15.75">
      <c r="A68" s="99" t="s">
        <v>199</v>
      </c>
      <c r="B68" s="100"/>
      <c r="C68" s="114"/>
      <c r="D68" s="100"/>
      <c r="E68" s="100"/>
      <c r="F68" s="102"/>
    </row>
    <row r="69" spans="1:6" ht="12.75">
      <c r="A69" s="103" t="s">
        <v>88</v>
      </c>
      <c r="B69" s="115">
        <v>0.35</v>
      </c>
      <c r="C69" s="116"/>
      <c r="D69" s="106"/>
      <c r="E69" s="106"/>
      <c r="F69" s="107"/>
    </row>
    <row r="70" spans="1:6" ht="12.75">
      <c r="A70" s="117" t="s">
        <v>200</v>
      </c>
      <c r="B70" s="188">
        <v>10</v>
      </c>
      <c r="C70" s="116"/>
      <c r="D70" s="106"/>
      <c r="E70" s="106"/>
      <c r="F70" s="107"/>
    </row>
    <row r="71" spans="1:6" ht="12.75">
      <c r="A71" s="119" t="s">
        <v>96</v>
      </c>
      <c r="B71" s="125">
        <f>2.095*12/(32+12)</f>
        <v>0.5713636363636364</v>
      </c>
      <c r="C71" s="120" t="s">
        <v>95</v>
      </c>
      <c r="D71" s="106"/>
      <c r="E71" s="106"/>
      <c r="F71" s="107"/>
    </row>
    <row r="72" spans="1:6" ht="12.75">
      <c r="A72" s="121" t="s">
        <v>201</v>
      </c>
      <c r="B72" s="141">
        <f>B70*B71</f>
        <v>5.713636363636364</v>
      </c>
      <c r="C72" s="116" t="s">
        <v>202</v>
      </c>
      <c r="D72" s="106"/>
      <c r="E72" s="106"/>
      <c r="F72" s="107"/>
    </row>
    <row r="73" spans="1:6" ht="25.5">
      <c r="A73" s="121" t="s">
        <v>86</v>
      </c>
      <c r="B73" s="81">
        <v>5</v>
      </c>
      <c r="C73" s="116" t="s">
        <v>211</v>
      </c>
      <c r="D73" s="106"/>
      <c r="E73" s="106"/>
      <c r="F73" s="107"/>
    </row>
    <row r="74" spans="1:6" ht="5.25" customHeight="1">
      <c r="A74" s="122"/>
      <c r="B74" s="123"/>
      <c r="C74" s="116"/>
      <c r="D74" s="106"/>
      <c r="E74" s="106"/>
      <c r="F74" s="107"/>
    </row>
    <row r="75" spans="1:6" ht="24.75" customHeight="1">
      <c r="A75" s="109" t="s">
        <v>207</v>
      </c>
      <c r="B75" s="110">
        <f>(B38+B72)*D43+(B39+B72)*D44+(B40+B72)*D45+F43*B43+F44*B44</f>
        <v>47306.29934063435</v>
      </c>
      <c r="C75" s="111" t="s">
        <v>219</v>
      </c>
      <c r="D75" s="112"/>
      <c r="E75" s="112"/>
      <c r="F75" s="113"/>
    </row>
    <row r="76" ht="8.25" customHeight="1"/>
    <row r="77" spans="1:6" ht="15.75">
      <c r="A77" s="99" t="s">
        <v>205</v>
      </c>
      <c r="B77" s="124"/>
      <c r="C77" s="114"/>
      <c r="D77" s="100"/>
      <c r="E77" s="100"/>
      <c r="F77" s="102"/>
    </row>
    <row r="78" spans="1:6" ht="12.75">
      <c r="A78" s="103" t="s">
        <v>88</v>
      </c>
      <c r="B78" s="115">
        <v>0.15</v>
      </c>
      <c r="C78" s="116"/>
      <c r="D78" s="106"/>
      <c r="E78" s="106"/>
      <c r="F78" s="107"/>
    </row>
    <row r="79" spans="1:6" ht="12.75">
      <c r="A79" s="117" t="s">
        <v>200</v>
      </c>
      <c r="B79" s="188">
        <v>25</v>
      </c>
      <c r="C79" s="116"/>
      <c r="D79" s="106"/>
      <c r="E79" s="106"/>
      <c r="F79" s="107"/>
    </row>
    <row r="80" spans="1:6" ht="12.75">
      <c r="A80" s="119" t="s">
        <v>96</v>
      </c>
      <c r="B80" s="125">
        <f>2.095*12/(32+12)</f>
        <v>0.5713636363636364</v>
      </c>
      <c r="C80" s="120" t="s">
        <v>95</v>
      </c>
      <c r="D80" s="106"/>
      <c r="E80" s="106"/>
      <c r="F80" s="107"/>
    </row>
    <row r="81" spans="1:6" ht="12.75">
      <c r="A81" s="121" t="s">
        <v>201</v>
      </c>
      <c r="B81" s="141">
        <f>B79*B80</f>
        <v>14.28409090909091</v>
      </c>
      <c r="C81" s="116" t="s">
        <v>210</v>
      </c>
      <c r="D81" s="106"/>
      <c r="E81" s="106"/>
      <c r="F81" s="107"/>
    </row>
    <row r="82" spans="1:6" ht="25.5">
      <c r="A82" s="121" t="s">
        <v>86</v>
      </c>
      <c r="B82" s="81">
        <v>5</v>
      </c>
      <c r="C82" s="116" t="s">
        <v>211</v>
      </c>
      <c r="D82" s="106"/>
      <c r="E82" s="106"/>
      <c r="F82" s="107"/>
    </row>
    <row r="83" spans="1:6" ht="5.25" customHeight="1">
      <c r="A83" s="122"/>
      <c r="B83" s="123"/>
      <c r="C83" s="116"/>
      <c r="D83" s="106"/>
      <c r="E83" s="106"/>
      <c r="F83" s="107"/>
    </row>
    <row r="84" spans="1:6" ht="27" customHeight="1">
      <c r="A84" s="109" t="s">
        <v>208</v>
      </c>
      <c r="B84" s="110">
        <f>(B38+B81)*D43+(B39+B81)*D44+(B40+B81)*D45+F43*B43+F44*B44</f>
        <v>50531.37897352172</v>
      </c>
      <c r="C84" s="111" t="s">
        <v>220</v>
      </c>
      <c r="D84" s="112"/>
      <c r="E84" s="112"/>
      <c r="F84" s="113"/>
    </row>
    <row r="86" ht="12.75">
      <c r="C86" s="43"/>
    </row>
    <row r="87" spans="1:7" ht="12.75">
      <c r="A87" s="126" t="s">
        <v>97</v>
      </c>
      <c r="B87" s="95"/>
      <c r="C87" s="95"/>
      <c r="D87" s="95"/>
      <c r="E87" s="95"/>
      <c r="F87" s="95"/>
      <c r="G87" s="96"/>
    </row>
    <row r="88" spans="1:7" ht="12.75">
      <c r="A88" s="127" t="s">
        <v>98</v>
      </c>
      <c r="B88" s="9" t="s">
        <v>99</v>
      </c>
      <c r="C88" s="9"/>
      <c r="D88" s="9"/>
      <c r="E88" s="9"/>
      <c r="F88" s="9"/>
      <c r="G88" s="74">
        <f>SUMPRODUCT(J20:J24,L20:L24)*B4</f>
        <v>160500</v>
      </c>
    </row>
    <row r="89" spans="1:7" ht="12.75">
      <c r="A89" s="127" t="s">
        <v>100</v>
      </c>
      <c r="B89" s="9" t="s">
        <v>101</v>
      </c>
      <c r="C89" s="9"/>
      <c r="D89" s="9"/>
      <c r="E89" s="9"/>
      <c r="F89" s="9"/>
      <c r="G89" s="74">
        <f>SUMPRODUCT(D20:D24,F20:F24)*B4</f>
        <v>255000</v>
      </c>
    </row>
    <row r="90" spans="1:7" ht="12.75">
      <c r="A90" s="127" t="s">
        <v>102</v>
      </c>
      <c r="B90" s="9" t="s">
        <v>103</v>
      </c>
      <c r="C90" s="9"/>
      <c r="D90" s="9"/>
      <c r="E90" s="9"/>
      <c r="F90" s="9"/>
      <c r="G90" s="74">
        <f>B33</f>
        <v>45156.246252042765</v>
      </c>
    </row>
    <row r="91" spans="1:7" ht="12.75">
      <c r="A91" s="127" t="s">
        <v>104</v>
      </c>
      <c r="B91" s="9" t="s">
        <v>105</v>
      </c>
      <c r="C91" s="9"/>
      <c r="D91" s="9"/>
      <c r="E91" s="9"/>
      <c r="F91" s="9"/>
      <c r="G91" s="75">
        <v>10</v>
      </c>
    </row>
    <row r="92" spans="1:7" ht="12.75">
      <c r="A92" s="128"/>
      <c r="B92" s="129"/>
      <c r="C92" s="129"/>
      <c r="D92" s="129"/>
      <c r="E92" s="129"/>
      <c r="F92" s="9"/>
      <c r="G92" s="135"/>
    </row>
    <row r="93" spans="1:7" ht="25.5" customHeight="1">
      <c r="A93" s="128" t="s">
        <v>106</v>
      </c>
      <c r="B93" s="136" t="s">
        <v>215</v>
      </c>
      <c r="C93" s="137" t="s">
        <v>212</v>
      </c>
      <c r="D93" s="138"/>
      <c r="E93" s="138"/>
      <c r="F93" s="139"/>
      <c r="G93" s="140">
        <f>B64*G91*B66</f>
        <v>225781.23126021383</v>
      </c>
    </row>
    <row r="94" spans="1:7" ht="25.5">
      <c r="A94" s="128"/>
      <c r="B94" s="136" t="s">
        <v>216</v>
      </c>
      <c r="C94" s="137" t="s">
        <v>213</v>
      </c>
      <c r="D94" s="138"/>
      <c r="E94" s="138"/>
      <c r="F94" s="139"/>
      <c r="G94" s="140">
        <f>B69*(B73*B66+(G91-B73)*B75)</f>
        <v>161809.45478718495</v>
      </c>
    </row>
    <row r="95" spans="1:7" ht="25.5">
      <c r="A95" s="128"/>
      <c r="B95" s="136" t="s">
        <v>217</v>
      </c>
      <c r="C95" s="137" t="s">
        <v>214</v>
      </c>
      <c r="D95" s="138"/>
      <c r="E95" s="138"/>
      <c r="F95" s="139"/>
      <c r="G95" s="140">
        <f>B78*(B82*B66+(G91-B82)*B84)</f>
        <v>71765.71891917336</v>
      </c>
    </row>
    <row r="96" spans="1:7" ht="15" customHeight="1">
      <c r="A96" s="128"/>
      <c r="C96" s="134" t="s">
        <v>218</v>
      </c>
      <c r="D96" s="133"/>
      <c r="E96" s="133"/>
      <c r="F96" s="9"/>
      <c r="G96" s="77">
        <f>G88+G89+SUM(G93:G95)</f>
        <v>874856.4049665721</v>
      </c>
    </row>
    <row r="97" spans="1:7" ht="12.75">
      <c r="A97" s="130"/>
      <c r="B97" s="97"/>
      <c r="C97" s="131"/>
      <c r="D97" s="132"/>
      <c r="E97" s="132"/>
      <c r="F97" s="132"/>
      <c r="G97" s="98"/>
    </row>
  </sheetData>
  <mergeCells count="1">
    <mergeCell ref="B8:B9"/>
  </mergeCell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97"/>
  <sheetViews>
    <sheetView view="pageBreakPreview" zoomScale="60" zoomScaleNormal="70" workbookViewId="0" topLeftCell="A1">
      <pane ySplit="10" topLeftCell="BM35" activePane="bottomLeft" state="frozen"/>
      <selection pane="topLeft" activeCell="A1" sqref="A1"/>
      <selection pane="bottomLeft" activeCell="L64" sqref="L64"/>
    </sheetView>
  </sheetViews>
  <sheetFormatPr defaultColWidth="9.140625" defaultRowHeight="12.75"/>
  <cols>
    <col min="1" max="1" width="36.421875" style="0" customWidth="1"/>
    <col min="2" max="2" width="13.421875" style="0" customWidth="1"/>
    <col min="3" max="4" width="9.7109375" style="0" customWidth="1"/>
    <col min="5" max="5" width="14.28125" style="0" customWidth="1"/>
    <col min="6" max="6" width="15.7109375" style="0" customWidth="1"/>
    <col min="7" max="7" width="14.28125" style="0" customWidth="1"/>
    <col min="8" max="8" width="11.57421875" style="0" customWidth="1"/>
    <col min="9" max="9" width="11.00390625" style="0" customWidth="1"/>
    <col min="10" max="10" width="12.00390625" style="0" customWidth="1"/>
    <col min="11" max="11" width="13.00390625" style="0" customWidth="1"/>
    <col min="12" max="12" width="11.00390625" style="0" customWidth="1"/>
    <col min="13" max="13" width="13.00390625" style="0" customWidth="1"/>
  </cols>
  <sheetData>
    <row r="1" ht="13.5" thickBot="1">
      <c r="A1" s="1"/>
    </row>
    <row r="2" spans="1:12" ht="12.75">
      <c r="A2" s="2" t="s">
        <v>0</v>
      </c>
      <c r="C2" s="2"/>
      <c r="I2" s="3"/>
      <c r="J2" s="4" t="s">
        <v>1</v>
      </c>
      <c r="K2" s="4"/>
      <c r="L2" s="5"/>
    </row>
    <row r="3" spans="1:12" ht="15.75">
      <c r="A3" s="6" t="s">
        <v>2</v>
      </c>
      <c r="B3" s="7">
        <v>750</v>
      </c>
      <c r="I3" s="8"/>
      <c r="J3" s="9" t="s">
        <v>3</v>
      </c>
      <c r="K3" s="9"/>
      <c r="L3" s="10"/>
    </row>
    <row r="4" spans="1:12" ht="12.75">
      <c r="A4" s="6" t="s">
        <v>4</v>
      </c>
      <c r="B4" s="7">
        <v>15</v>
      </c>
      <c r="I4" s="11"/>
      <c r="J4" s="9" t="s">
        <v>5</v>
      </c>
      <c r="K4" s="9"/>
      <c r="L4" s="10"/>
    </row>
    <row r="5" spans="1:12" ht="12.75">
      <c r="A5" s="1"/>
      <c r="I5" s="12"/>
      <c r="J5" s="9" t="s">
        <v>6</v>
      </c>
      <c r="K5" s="9"/>
      <c r="L5" s="10"/>
    </row>
    <row r="6" spans="1:12" ht="13.5" thickBot="1">
      <c r="A6" s="6"/>
      <c r="B6" s="13"/>
      <c r="I6" s="14"/>
      <c r="J6" s="15" t="s">
        <v>7</v>
      </c>
      <c r="K6" s="15"/>
      <c r="L6" s="16"/>
    </row>
    <row r="7" ht="12.75">
      <c r="A7" s="6"/>
    </row>
    <row r="8" spans="1:27" ht="12.75">
      <c r="A8" s="6"/>
      <c r="B8" s="207" t="s">
        <v>8</v>
      </c>
      <c r="C8" s="17" t="s">
        <v>9</v>
      </c>
      <c r="D8" s="17" t="s">
        <v>9</v>
      </c>
      <c r="E8" s="17" t="s">
        <v>9</v>
      </c>
      <c r="F8" s="17" t="s">
        <v>9</v>
      </c>
      <c r="G8" s="17" t="s">
        <v>9</v>
      </c>
      <c r="H8" s="17" t="s">
        <v>10</v>
      </c>
      <c r="I8" s="17" t="s">
        <v>10</v>
      </c>
      <c r="J8" s="17" t="s">
        <v>10</v>
      </c>
      <c r="K8" s="17" t="s">
        <v>10</v>
      </c>
      <c r="L8" s="17" t="s">
        <v>10</v>
      </c>
      <c r="M8" s="17" t="s">
        <v>11</v>
      </c>
      <c r="N8" s="17" t="s">
        <v>11</v>
      </c>
      <c r="O8" s="17" t="s">
        <v>11</v>
      </c>
      <c r="P8" s="17" t="s">
        <v>11</v>
      </c>
      <c r="Q8" s="17" t="s">
        <v>11</v>
      </c>
      <c r="R8" s="17" t="s">
        <v>12</v>
      </c>
      <c r="S8" s="17" t="s">
        <v>12</v>
      </c>
      <c r="T8" s="17" t="s">
        <v>12</v>
      </c>
      <c r="U8" s="17" t="s">
        <v>12</v>
      </c>
      <c r="V8" s="17" t="s">
        <v>12</v>
      </c>
      <c r="W8" s="17" t="s">
        <v>13</v>
      </c>
      <c r="X8" s="17" t="s">
        <v>13</v>
      </c>
      <c r="Y8" s="17" t="s">
        <v>13</v>
      </c>
      <c r="Z8" s="17" t="s">
        <v>13</v>
      </c>
      <c r="AA8" s="17" t="s">
        <v>13</v>
      </c>
    </row>
    <row r="9" spans="1:27" ht="12.75">
      <c r="A9" s="6"/>
      <c r="B9" s="207"/>
      <c r="C9" s="17" t="s">
        <v>14</v>
      </c>
      <c r="D9" s="17" t="s">
        <v>15</v>
      </c>
      <c r="E9" s="17" t="s">
        <v>16</v>
      </c>
      <c r="F9" s="17" t="s">
        <v>17</v>
      </c>
      <c r="G9" s="17" t="s">
        <v>18</v>
      </c>
      <c r="H9" s="17" t="s">
        <v>14</v>
      </c>
      <c r="I9" s="17" t="s">
        <v>15</v>
      </c>
      <c r="J9" s="17" t="s">
        <v>16</v>
      </c>
      <c r="K9" s="17" t="s">
        <v>17</v>
      </c>
      <c r="L9" s="17" t="s">
        <v>18</v>
      </c>
      <c r="M9" s="17" t="s">
        <v>14</v>
      </c>
      <c r="N9" s="17" t="s">
        <v>15</v>
      </c>
      <c r="O9" s="17" t="s">
        <v>16</v>
      </c>
      <c r="P9" s="17" t="s">
        <v>17</v>
      </c>
      <c r="Q9" s="17" t="s">
        <v>18</v>
      </c>
      <c r="R9" s="17" t="s">
        <v>14</v>
      </c>
      <c r="S9" s="17" t="s">
        <v>15</v>
      </c>
      <c r="T9" s="17" t="s">
        <v>16</v>
      </c>
      <c r="U9" s="17" t="s">
        <v>17</v>
      </c>
      <c r="V9" s="17" t="s">
        <v>18</v>
      </c>
      <c r="W9" s="17" t="s">
        <v>14</v>
      </c>
      <c r="X9" s="17" t="s">
        <v>15</v>
      </c>
      <c r="Y9" s="17" t="s">
        <v>16</v>
      </c>
      <c r="Z9" s="17" t="s">
        <v>17</v>
      </c>
      <c r="AA9" s="17" t="s">
        <v>18</v>
      </c>
    </row>
    <row r="10" spans="1:27" ht="15.75">
      <c r="A10" s="6"/>
      <c r="B10" s="18" t="s">
        <v>19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1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</row>
    <row r="11" spans="1:27" ht="28.5">
      <c r="A11" s="6"/>
      <c r="B11" s="22" t="s">
        <v>20</v>
      </c>
      <c r="C11" s="20">
        <v>0.72</v>
      </c>
      <c r="D11" s="20">
        <v>0.72</v>
      </c>
      <c r="E11" s="20">
        <v>0.72</v>
      </c>
      <c r="F11" s="20">
        <v>0.72</v>
      </c>
      <c r="G11" s="20">
        <v>0.72</v>
      </c>
      <c r="H11" s="20">
        <v>0.7</v>
      </c>
      <c r="I11" s="20">
        <v>0.7</v>
      </c>
      <c r="J11" s="20">
        <v>0.7</v>
      </c>
      <c r="K11" s="20">
        <v>0.7</v>
      </c>
      <c r="L11" s="20">
        <v>0.7</v>
      </c>
      <c r="M11" s="20">
        <v>0.69</v>
      </c>
      <c r="N11" s="20">
        <v>0.69</v>
      </c>
      <c r="O11" s="20">
        <v>0.69</v>
      </c>
      <c r="P11" s="20">
        <v>0.69</v>
      </c>
      <c r="Q11" s="20">
        <v>0.69</v>
      </c>
      <c r="R11" s="20">
        <v>0.67</v>
      </c>
      <c r="S11" s="20">
        <v>0.67</v>
      </c>
      <c r="T11" s="20">
        <v>0.67</v>
      </c>
      <c r="U11" s="20">
        <v>0.67</v>
      </c>
      <c r="V11" s="20">
        <v>0.67</v>
      </c>
      <c r="W11" s="20">
        <v>0.65</v>
      </c>
      <c r="X11" s="20">
        <v>0.65</v>
      </c>
      <c r="Y11" s="20">
        <v>0.65</v>
      </c>
      <c r="Z11" s="20">
        <v>0.65</v>
      </c>
      <c r="AA11" s="20">
        <v>0.65</v>
      </c>
    </row>
    <row r="12" spans="1:27" ht="28.5">
      <c r="A12" s="6"/>
      <c r="B12" s="22" t="s">
        <v>21</v>
      </c>
      <c r="C12" s="21">
        <f>M20</f>
        <v>0.89</v>
      </c>
      <c r="D12" s="21">
        <f>C12</f>
        <v>0.89</v>
      </c>
      <c r="E12" s="21">
        <f>D12</f>
        <v>0.89</v>
      </c>
      <c r="F12" s="21">
        <f>E12</f>
        <v>0.89</v>
      </c>
      <c r="G12" s="21">
        <f>F12</f>
        <v>0.89</v>
      </c>
      <c r="H12" s="21">
        <f>M21</f>
        <v>0.88</v>
      </c>
      <c r="I12" s="21">
        <f>H12</f>
        <v>0.88</v>
      </c>
      <c r="J12" s="21">
        <f>I12</f>
        <v>0.88</v>
      </c>
      <c r="K12" s="21">
        <f>J12</f>
        <v>0.88</v>
      </c>
      <c r="L12" s="21">
        <f>K12</f>
        <v>0.88</v>
      </c>
      <c r="M12" s="21">
        <f>M22</f>
        <v>0.87</v>
      </c>
      <c r="N12" s="21">
        <f>M12</f>
        <v>0.87</v>
      </c>
      <c r="O12" s="21">
        <f>N12</f>
        <v>0.87</v>
      </c>
      <c r="P12" s="21">
        <f>O12</f>
        <v>0.87</v>
      </c>
      <c r="Q12" s="21">
        <f>P12</f>
        <v>0.87</v>
      </c>
      <c r="R12" s="21">
        <f>M23</f>
        <v>0.88</v>
      </c>
      <c r="S12" s="21">
        <f>R12</f>
        <v>0.88</v>
      </c>
      <c r="T12" s="21">
        <f>S12</f>
        <v>0.88</v>
      </c>
      <c r="U12" s="21">
        <f>T12</f>
        <v>0.88</v>
      </c>
      <c r="V12" s="21">
        <f>U12</f>
        <v>0.88</v>
      </c>
      <c r="W12" s="21">
        <f>M24</f>
        <v>0.88</v>
      </c>
      <c r="X12" s="21">
        <f aca="true" t="shared" si="0" ref="X12:AA13">W12</f>
        <v>0.88</v>
      </c>
      <c r="Y12" s="21">
        <f t="shared" si="0"/>
        <v>0.88</v>
      </c>
      <c r="Z12" s="21">
        <f t="shared" si="0"/>
        <v>0.88</v>
      </c>
      <c r="AA12" s="21">
        <f t="shared" si="0"/>
        <v>0.88</v>
      </c>
    </row>
    <row r="13" spans="1:27" ht="41.25">
      <c r="A13" s="6"/>
      <c r="B13" s="22" t="s">
        <v>22</v>
      </c>
      <c r="C13" s="21">
        <f>$K$20</f>
        <v>42</v>
      </c>
      <c r="D13" s="21">
        <f>$K$20</f>
        <v>42</v>
      </c>
      <c r="E13" s="21">
        <f>$K$20</f>
        <v>42</v>
      </c>
      <c r="F13" s="21">
        <f>$K$20</f>
        <v>42</v>
      </c>
      <c r="G13" s="21">
        <f>$K$20</f>
        <v>42</v>
      </c>
      <c r="H13" s="21">
        <f>$K$21</f>
        <v>57</v>
      </c>
      <c r="I13" s="21">
        <f>$K$21</f>
        <v>57</v>
      </c>
      <c r="J13" s="21">
        <f>$K$21</f>
        <v>57</v>
      </c>
      <c r="K13" s="21">
        <f>$K$21</f>
        <v>57</v>
      </c>
      <c r="L13" s="21">
        <f>$K$21</f>
        <v>57</v>
      </c>
      <c r="M13" s="21">
        <f>$K$22</f>
        <v>60</v>
      </c>
      <c r="N13" s="21">
        <f>$K$22</f>
        <v>60</v>
      </c>
      <c r="O13" s="21">
        <f>$K$22</f>
        <v>60</v>
      </c>
      <c r="P13" s="21">
        <f>$K$22</f>
        <v>60</v>
      </c>
      <c r="Q13" s="21">
        <f>$K$22</f>
        <v>60</v>
      </c>
      <c r="R13" s="21">
        <f>$K$23</f>
        <v>65</v>
      </c>
      <c r="S13" s="21">
        <f>$K$23</f>
        <v>65</v>
      </c>
      <c r="T13" s="21">
        <f>$K$23</f>
        <v>65</v>
      </c>
      <c r="U13" s="21">
        <f>$K$23</f>
        <v>65</v>
      </c>
      <c r="V13" s="21">
        <f>$K$23</f>
        <v>65</v>
      </c>
      <c r="W13" s="21">
        <f>K24</f>
        <v>92</v>
      </c>
      <c r="X13" s="21">
        <f t="shared" si="0"/>
        <v>92</v>
      </c>
      <c r="Y13" s="21">
        <f t="shared" si="0"/>
        <v>92</v>
      </c>
      <c r="Z13" s="21">
        <f t="shared" si="0"/>
        <v>92</v>
      </c>
      <c r="AA13" s="21">
        <f t="shared" si="0"/>
        <v>92</v>
      </c>
    </row>
    <row r="14" spans="1:27" ht="28.5">
      <c r="A14" s="6"/>
      <c r="B14" s="22" t="s">
        <v>23</v>
      </c>
      <c r="C14" s="23">
        <f>$E$20</f>
        <v>356</v>
      </c>
      <c r="D14" s="23">
        <f>$E$21</f>
        <v>90</v>
      </c>
      <c r="E14" s="23">
        <f>$E$22</f>
        <v>53</v>
      </c>
      <c r="F14" s="23">
        <f>$E$23</f>
        <v>44</v>
      </c>
      <c r="G14" s="23">
        <f>$E$24</f>
        <v>41</v>
      </c>
      <c r="H14" s="23">
        <f>$E$20</f>
        <v>356</v>
      </c>
      <c r="I14" s="23">
        <f>$E$21</f>
        <v>90</v>
      </c>
      <c r="J14" s="23">
        <f>$E$22</f>
        <v>53</v>
      </c>
      <c r="K14" s="23">
        <f>$E$23</f>
        <v>44</v>
      </c>
      <c r="L14" s="23">
        <f>$E$24</f>
        <v>41</v>
      </c>
      <c r="M14" s="23">
        <f>$E$20</f>
        <v>356</v>
      </c>
      <c r="N14" s="23">
        <f>$E$21</f>
        <v>90</v>
      </c>
      <c r="O14" s="23">
        <f>$E$22</f>
        <v>53</v>
      </c>
      <c r="P14" s="23">
        <f>$E$23</f>
        <v>44</v>
      </c>
      <c r="Q14" s="23">
        <f>$E$24</f>
        <v>41</v>
      </c>
      <c r="R14" s="23">
        <f>$E$20</f>
        <v>356</v>
      </c>
      <c r="S14" s="23">
        <f>$E$21</f>
        <v>90</v>
      </c>
      <c r="T14" s="23">
        <f>$E$22</f>
        <v>53</v>
      </c>
      <c r="U14" s="23">
        <f>$E$23</f>
        <v>44</v>
      </c>
      <c r="V14" s="23">
        <f>$E$24</f>
        <v>41</v>
      </c>
      <c r="W14" s="23">
        <f>$E$20</f>
        <v>356</v>
      </c>
      <c r="X14" s="23">
        <f>$E$21</f>
        <v>90</v>
      </c>
      <c r="Y14" s="23">
        <f>$E$22</f>
        <v>53</v>
      </c>
      <c r="Z14" s="23">
        <f>$E$23</f>
        <v>44</v>
      </c>
      <c r="AA14" s="23">
        <f>$E$24</f>
        <v>41</v>
      </c>
    </row>
    <row r="15" spans="1:27" ht="57">
      <c r="A15" s="6"/>
      <c r="B15" s="22" t="s">
        <v>24</v>
      </c>
      <c r="C15" s="24">
        <f aca="true" t="shared" si="1" ref="C15:AA15">(C14*$B$3)/(33000*C11)*8.34</f>
        <v>93.71969696969697</v>
      </c>
      <c r="D15" s="24">
        <f t="shared" si="1"/>
        <v>23.693181818181817</v>
      </c>
      <c r="E15" s="24">
        <f t="shared" si="1"/>
        <v>13.952651515151516</v>
      </c>
      <c r="F15" s="24">
        <f t="shared" si="1"/>
        <v>11.583333333333332</v>
      </c>
      <c r="G15" s="24">
        <f t="shared" si="1"/>
        <v>10.793560606060606</v>
      </c>
      <c r="H15" s="24">
        <f t="shared" si="1"/>
        <v>96.39740259740259</v>
      </c>
      <c r="I15" s="24">
        <f t="shared" si="1"/>
        <v>24.370129870129873</v>
      </c>
      <c r="J15" s="24">
        <f t="shared" si="1"/>
        <v>14.3512987012987</v>
      </c>
      <c r="K15" s="24">
        <f t="shared" si="1"/>
        <v>11.914285714285715</v>
      </c>
      <c r="L15" s="24">
        <f t="shared" si="1"/>
        <v>11.101948051948051</v>
      </c>
      <c r="M15" s="24">
        <f t="shared" si="1"/>
        <v>97.79446640316206</v>
      </c>
      <c r="N15" s="24">
        <f t="shared" si="1"/>
        <v>24.72332015810277</v>
      </c>
      <c r="O15" s="24">
        <f t="shared" si="1"/>
        <v>14.559288537549408</v>
      </c>
      <c r="P15" s="24">
        <f t="shared" si="1"/>
        <v>12.08695652173913</v>
      </c>
      <c r="Q15" s="24">
        <f t="shared" si="1"/>
        <v>11.262845849802371</v>
      </c>
      <c r="R15" s="24">
        <f t="shared" si="1"/>
        <v>100.71370420624152</v>
      </c>
      <c r="S15" s="24">
        <f t="shared" si="1"/>
        <v>25.46132971506106</v>
      </c>
      <c r="T15" s="24">
        <f t="shared" si="1"/>
        <v>14.993894165535956</v>
      </c>
      <c r="U15" s="24">
        <f t="shared" si="1"/>
        <v>12.447761194029852</v>
      </c>
      <c r="V15" s="24">
        <f t="shared" si="1"/>
        <v>11.599050203527815</v>
      </c>
      <c r="W15" s="24">
        <f t="shared" si="1"/>
        <v>103.81258741258742</v>
      </c>
      <c r="X15" s="24">
        <f t="shared" si="1"/>
        <v>26.244755244755243</v>
      </c>
      <c r="Y15" s="24">
        <f t="shared" si="1"/>
        <v>15.455244755244754</v>
      </c>
      <c r="Z15" s="24">
        <f t="shared" si="1"/>
        <v>12.830769230769231</v>
      </c>
      <c r="AA15" s="24">
        <f t="shared" si="1"/>
        <v>11.955944055944055</v>
      </c>
    </row>
    <row r="16" spans="1:27" ht="41.25">
      <c r="A16" s="6"/>
      <c r="B16" s="22" t="s">
        <v>25</v>
      </c>
      <c r="C16" s="24">
        <f aca="true" t="shared" si="2" ref="C16:AA16">C15*0.7457/C12</f>
        <v>78.5244696969697</v>
      </c>
      <c r="D16" s="24">
        <f t="shared" si="2"/>
        <v>19.851691777323797</v>
      </c>
      <c r="E16" s="24">
        <f t="shared" si="2"/>
        <v>11.690440713312904</v>
      </c>
      <c r="F16" s="24">
        <f t="shared" si="2"/>
        <v>9.705271535580524</v>
      </c>
      <c r="G16" s="24">
        <f t="shared" si="2"/>
        <v>9.043548476336397</v>
      </c>
      <c r="H16" s="24">
        <f t="shared" si="2"/>
        <v>81.68584445100355</v>
      </c>
      <c r="I16" s="24">
        <f t="shared" si="2"/>
        <v>20.65091573199528</v>
      </c>
      <c r="J16" s="24">
        <f t="shared" si="2"/>
        <v>12.161094819952774</v>
      </c>
      <c r="K16" s="24">
        <f t="shared" si="2"/>
        <v>10.096003246753249</v>
      </c>
      <c r="L16" s="24">
        <f t="shared" si="2"/>
        <v>9.407639389020071</v>
      </c>
      <c r="M16" s="24">
        <f t="shared" si="2"/>
        <v>83.8222225251011</v>
      </c>
      <c r="N16" s="24">
        <f t="shared" si="2"/>
        <v>21.191011312525557</v>
      </c>
      <c r="O16" s="24">
        <f t="shared" si="2"/>
        <v>12.47915110626505</v>
      </c>
      <c r="P16" s="24">
        <f t="shared" si="2"/>
        <v>10.360049975012494</v>
      </c>
      <c r="Q16" s="24">
        <f t="shared" si="2"/>
        <v>9.653682931261642</v>
      </c>
      <c r="R16" s="24">
        <f t="shared" si="2"/>
        <v>85.34341957567534</v>
      </c>
      <c r="S16" s="24">
        <f t="shared" si="2"/>
        <v>21.575583600592083</v>
      </c>
      <c r="T16" s="24">
        <f t="shared" si="2"/>
        <v>12.705621453682003</v>
      </c>
      <c r="U16" s="24">
        <f t="shared" si="2"/>
        <v>10.548063093622797</v>
      </c>
      <c r="V16" s="24">
        <f t="shared" si="2"/>
        <v>9.828876973603059</v>
      </c>
      <c r="W16" s="24">
        <f t="shared" si="2"/>
        <v>87.96937094723458</v>
      </c>
      <c r="X16" s="24">
        <f t="shared" si="2"/>
        <v>22.23944771137953</v>
      </c>
      <c r="Y16" s="24">
        <f t="shared" si="2"/>
        <v>13.096563652256833</v>
      </c>
      <c r="Z16" s="24">
        <f t="shared" si="2"/>
        <v>10.872618881118882</v>
      </c>
      <c r="AA16" s="24">
        <f t="shared" si="2"/>
        <v>10.13130395740623</v>
      </c>
    </row>
    <row r="17" spans="1:27" ht="12.7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2.75">
      <c r="A18" s="25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41.25">
      <c r="A19" s="25"/>
      <c r="B19" s="22" t="s">
        <v>26</v>
      </c>
      <c r="C19" s="28" t="s">
        <v>27</v>
      </c>
      <c r="D19" s="29" t="s">
        <v>28</v>
      </c>
      <c r="E19" s="29" t="s">
        <v>23</v>
      </c>
      <c r="F19" s="28" t="s">
        <v>29</v>
      </c>
      <c r="H19" s="22" t="s">
        <v>30</v>
      </c>
      <c r="I19" s="28" t="s">
        <v>31</v>
      </c>
      <c r="J19" s="29" t="s">
        <v>28</v>
      </c>
      <c r="K19" s="29" t="s">
        <v>22</v>
      </c>
      <c r="L19" s="29" t="s">
        <v>29</v>
      </c>
      <c r="M19" s="29" t="s">
        <v>32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2.75">
      <c r="A20" s="25"/>
      <c r="B20" s="18">
        <v>4</v>
      </c>
      <c r="C20" s="28" t="s">
        <v>14</v>
      </c>
      <c r="D20" s="30">
        <f>C10+H10+M10+R10+W10</f>
        <v>0</v>
      </c>
      <c r="E20" s="23">
        <v>356</v>
      </c>
      <c r="F20" s="78">
        <v>15000</v>
      </c>
      <c r="G20" s="32"/>
      <c r="H20" s="18">
        <v>12</v>
      </c>
      <c r="I20" s="28" t="s">
        <v>9</v>
      </c>
      <c r="J20" s="30">
        <f>SUM(C10:G10)</f>
        <v>0</v>
      </c>
      <c r="K20" s="21">
        <v>42</v>
      </c>
      <c r="L20" s="78">
        <v>32100</v>
      </c>
      <c r="M20" s="21">
        <v>0.89</v>
      </c>
      <c r="N20" s="27"/>
      <c r="O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2.75">
      <c r="A21" s="25"/>
      <c r="B21" s="18">
        <v>6</v>
      </c>
      <c r="C21" s="28" t="s">
        <v>15</v>
      </c>
      <c r="D21" s="30">
        <f>D10+I10+N10+S10+X10</f>
        <v>0</v>
      </c>
      <c r="E21" s="23">
        <v>90</v>
      </c>
      <c r="F21" s="78">
        <v>19500</v>
      </c>
      <c r="G21" s="32"/>
      <c r="H21" s="18">
        <v>18</v>
      </c>
      <c r="I21" s="28" t="s">
        <v>10</v>
      </c>
      <c r="J21" s="30">
        <f>SUM(H10:L10)</f>
        <v>0</v>
      </c>
      <c r="K21" s="21">
        <v>57</v>
      </c>
      <c r="L21" s="78">
        <v>35400</v>
      </c>
      <c r="M21" s="21">
        <v>0.88</v>
      </c>
      <c r="N21" s="27"/>
      <c r="O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2.75">
      <c r="A22" s="25"/>
      <c r="B22" s="18">
        <v>8</v>
      </c>
      <c r="C22" s="28" t="s">
        <v>16</v>
      </c>
      <c r="D22" s="30">
        <f>E10+J10+O10+T10+Y10</f>
        <v>0</v>
      </c>
      <c r="E22" s="23">
        <v>53</v>
      </c>
      <c r="F22" s="78">
        <v>28500</v>
      </c>
      <c r="G22" s="32"/>
      <c r="H22" s="18">
        <v>20</v>
      </c>
      <c r="I22" s="28" t="s">
        <v>11</v>
      </c>
      <c r="J22" s="30">
        <f>SUM(M10:Q10)</f>
        <v>1</v>
      </c>
      <c r="K22" s="21">
        <v>60</v>
      </c>
      <c r="L22" s="78">
        <v>49100</v>
      </c>
      <c r="M22" s="21">
        <v>0.87</v>
      </c>
      <c r="N22" s="27"/>
      <c r="O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2.75">
      <c r="A23" s="25"/>
      <c r="B23" s="18">
        <v>10</v>
      </c>
      <c r="C23" s="28" t="s">
        <v>17</v>
      </c>
      <c r="D23" s="30">
        <f>F10+K10+P10+U10+Z10</f>
        <v>0</v>
      </c>
      <c r="E23" s="23">
        <v>44</v>
      </c>
      <c r="F23" s="78">
        <v>40000</v>
      </c>
      <c r="G23" s="32"/>
      <c r="H23" s="18">
        <v>25</v>
      </c>
      <c r="I23" s="28" t="s">
        <v>12</v>
      </c>
      <c r="J23" s="30">
        <f>SUM(R10:V10)</f>
        <v>0</v>
      </c>
      <c r="K23" s="21">
        <v>65</v>
      </c>
      <c r="L23" s="78">
        <v>49100</v>
      </c>
      <c r="M23" s="21">
        <v>0.88</v>
      </c>
      <c r="N23" s="27"/>
      <c r="O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2.75">
      <c r="A24" s="25"/>
      <c r="B24" s="18">
        <v>12</v>
      </c>
      <c r="C24" s="28" t="s">
        <v>18</v>
      </c>
      <c r="D24" s="30">
        <f>G10+L10+Q10+V10+AA10</f>
        <v>1</v>
      </c>
      <c r="E24" s="23">
        <v>41</v>
      </c>
      <c r="F24" s="78">
        <v>51000</v>
      </c>
      <c r="G24" s="32"/>
      <c r="H24" s="18">
        <v>30</v>
      </c>
      <c r="I24" s="28" t="s">
        <v>13</v>
      </c>
      <c r="J24" s="30">
        <f>SUM(W10:AA10)</f>
        <v>0</v>
      </c>
      <c r="K24" s="21">
        <v>92</v>
      </c>
      <c r="L24" s="78">
        <v>57500</v>
      </c>
      <c r="M24" s="21">
        <v>0.88</v>
      </c>
      <c r="N24" s="27"/>
      <c r="O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2.75">
      <c r="A25" s="6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3" ht="12.75">
      <c r="A26" s="35" t="s">
        <v>33</v>
      </c>
      <c r="B26" s="36">
        <f>SUMPRODUCT(C16:AA16,C10:AA10)</f>
        <v>9.653682931261642</v>
      </c>
      <c r="C26" s="32"/>
    </row>
    <row r="27" spans="1:3" ht="12.75">
      <c r="A27" s="35"/>
      <c r="B27" s="37"/>
      <c r="C27" s="32"/>
    </row>
    <row r="28" spans="1:2" ht="12.75">
      <c r="A28" s="38" t="s">
        <v>34</v>
      </c>
      <c r="B28" s="7">
        <v>0.95</v>
      </c>
    </row>
    <row r="29" spans="1:3" ht="12.75">
      <c r="A29" s="35" t="s">
        <v>35</v>
      </c>
      <c r="B29" s="39">
        <f>365*24*B28</f>
        <v>8322</v>
      </c>
      <c r="C29" s="32"/>
    </row>
    <row r="30" spans="1:3" ht="12.75">
      <c r="A30" s="35"/>
      <c r="C30" s="32"/>
    </row>
    <row r="31" spans="1:3" ht="12.75">
      <c r="A31" s="35" t="s">
        <v>36</v>
      </c>
      <c r="B31" s="24">
        <f>B26*B29</f>
        <v>80337.94935395938</v>
      </c>
      <c r="C31" s="32"/>
    </row>
    <row r="32" spans="1:12" ht="38.25">
      <c r="A32" s="35" t="s">
        <v>37</v>
      </c>
      <c r="B32" s="24">
        <f>B31*B4</f>
        <v>1205069.2403093907</v>
      </c>
      <c r="C32" s="32">
        <f>B32/1000</f>
        <v>1205.0692403093908</v>
      </c>
      <c r="D32" s="35" t="s">
        <v>113</v>
      </c>
      <c r="G32" s="40"/>
      <c r="H32" s="32"/>
      <c r="I32" s="41"/>
      <c r="J32" s="32"/>
      <c r="K32" s="32"/>
      <c r="L32" s="32"/>
    </row>
    <row r="33" spans="1:12" ht="12.75">
      <c r="A33" s="35" t="s">
        <v>38</v>
      </c>
      <c r="B33" s="79">
        <f>B66</f>
        <v>142159.93427536104</v>
      </c>
      <c r="C33" s="43"/>
      <c r="G33" s="40"/>
      <c r="H33" s="32"/>
      <c r="I33" s="32"/>
      <c r="J33" s="32"/>
      <c r="K33" s="32"/>
      <c r="L33" s="32"/>
    </row>
    <row r="34" spans="1:3" ht="12.75">
      <c r="A34" s="44"/>
      <c r="B34" s="45"/>
      <c r="C34" s="32"/>
    </row>
    <row r="35" spans="1:2" ht="12.75">
      <c r="A35" s="46" t="s">
        <v>39</v>
      </c>
      <c r="B35" s="32"/>
    </row>
    <row r="36" ht="12.75">
      <c r="A36" s="47"/>
    </row>
    <row r="37" spans="1:4" ht="63.75">
      <c r="A37" s="1" t="s">
        <v>40</v>
      </c>
      <c r="B37" s="48" t="s">
        <v>112</v>
      </c>
      <c r="D37" s="48" t="s">
        <v>111</v>
      </c>
    </row>
    <row r="38" spans="1:4" ht="12.75">
      <c r="A38" s="49" t="s">
        <v>43</v>
      </c>
      <c r="B38" s="84">
        <v>70</v>
      </c>
      <c r="C38" t="s">
        <v>44</v>
      </c>
      <c r="D38" s="7">
        <v>0</v>
      </c>
    </row>
    <row r="39" spans="1:5" ht="12.75">
      <c r="A39" s="49" t="s">
        <v>45</v>
      </c>
      <c r="B39" s="84">
        <v>100</v>
      </c>
      <c r="C39" t="s">
        <v>46</v>
      </c>
      <c r="D39" s="7">
        <f>10^3/2</f>
        <v>500</v>
      </c>
      <c r="E39" t="s">
        <v>47</v>
      </c>
    </row>
    <row r="40" spans="1:5" ht="12.75">
      <c r="A40" s="49" t="s">
        <v>48</v>
      </c>
      <c r="B40" s="84">
        <v>120</v>
      </c>
      <c r="C40" t="s">
        <v>49</v>
      </c>
      <c r="D40" s="7">
        <f>10^3</f>
        <v>1000</v>
      </c>
      <c r="E40" t="s">
        <v>50</v>
      </c>
    </row>
    <row r="41" ht="12.75">
      <c r="A41" s="6"/>
    </row>
    <row r="42" spans="1:3" ht="12.75">
      <c r="A42" s="6" t="s">
        <v>51</v>
      </c>
      <c r="B42" s="32"/>
      <c r="C42" s="32"/>
    </row>
    <row r="43" spans="1:5" ht="12.75">
      <c r="A43" s="6" t="s">
        <v>52</v>
      </c>
      <c r="B43" s="19">
        <v>1</v>
      </c>
      <c r="C43" s="51" t="s">
        <v>53</v>
      </c>
      <c r="D43" s="52">
        <v>500</v>
      </c>
      <c r="E43" s="51"/>
    </row>
    <row r="44" spans="1:5" ht="12.75">
      <c r="A44" s="6" t="s">
        <v>55</v>
      </c>
      <c r="B44" s="19">
        <v>1</v>
      </c>
      <c r="C44" s="51" t="s">
        <v>56</v>
      </c>
      <c r="D44" s="52">
        <v>500</v>
      </c>
      <c r="E44" s="51"/>
    </row>
    <row r="45" spans="1:4" ht="12.75">
      <c r="A45" s="54" t="s">
        <v>58</v>
      </c>
      <c r="B45" s="28">
        <f>SUM(B43:B44)</f>
        <v>2</v>
      </c>
      <c r="C45" s="51" t="s">
        <v>59</v>
      </c>
      <c r="D45" s="52">
        <v>476.3327856280086</v>
      </c>
    </row>
    <row r="46" spans="1:4" ht="12.75">
      <c r="A46" s="1"/>
      <c r="B46" s="32"/>
      <c r="C46" s="51" t="s">
        <v>60</v>
      </c>
      <c r="D46" s="56">
        <f>SUM(D43:D45)</f>
        <v>1476.3327856280087</v>
      </c>
    </row>
    <row r="47" spans="1:4" ht="12.75">
      <c r="A47" s="1"/>
      <c r="B47" s="32"/>
      <c r="C47" s="51"/>
      <c r="D47" s="57"/>
    </row>
    <row r="48" ht="12.75">
      <c r="A48" s="6"/>
    </row>
    <row r="49" spans="1:4" ht="12.75">
      <c r="A49" s="49" t="s">
        <v>61</v>
      </c>
      <c r="B49" s="17" t="s">
        <v>62</v>
      </c>
      <c r="C49" s="58" t="s">
        <v>63</v>
      </c>
      <c r="D49" s="17" t="s">
        <v>64</v>
      </c>
    </row>
    <row r="50" spans="1:3" ht="15.75">
      <c r="A50" s="6" t="s">
        <v>65</v>
      </c>
      <c r="C50" s="59" t="s">
        <v>66</v>
      </c>
    </row>
    <row r="51" spans="1:4" ht="12.75">
      <c r="A51" s="6" t="s">
        <v>114</v>
      </c>
      <c r="B51">
        <f>SUMPRODUCT(C10:AA10,C14:AA14)-SUMPRODUCT(C10:AA10,C13:AA13)</f>
        <v>-19</v>
      </c>
      <c r="C51" s="28" t="s">
        <v>68</v>
      </c>
      <c r="D51">
        <v>0</v>
      </c>
    </row>
    <row r="52" spans="1:4" ht="12.75">
      <c r="A52" s="6" t="s">
        <v>69</v>
      </c>
      <c r="B52">
        <f>SUM(C10:AA10)</f>
        <v>1</v>
      </c>
      <c r="C52" s="28" t="s">
        <v>70</v>
      </c>
      <c r="D52">
        <v>1</v>
      </c>
    </row>
    <row r="53" spans="1:6" ht="12.75">
      <c r="A53" s="6" t="s">
        <v>108</v>
      </c>
      <c r="B53">
        <f>D39*B43-D43</f>
        <v>0</v>
      </c>
      <c r="C53" s="30" t="s">
        <v>68</v>
      </c>
      <c r="D53">
        <v>0</v>
      </c>
      <c r="F53" s="60"/>
    </row>
    <row r="54" spans="1:4" ht="12.75">
      <c r="A54" s="6" t="s">
        <v>115</v>
      </c>
      <c r="B54" s="60">
        <f>D43-D39</f>
        <v>0</v>
      </c>
      <c r="C54" s="30" t="s">
        <v>68</v>
      </c>
      <c r="D54">
        <v>0</v>
      </c>
    </row>
    <row r="55" spans="1:4" ht="12.75">
      <c r="A55" s="6" t="s">
        <v>109</v>
      </c>
      <c r="B55">
        <f>(D40-D39)*B44-D44</f>
        <v>0</v>
      </c>
      <c r="C55" s="30" t="s">
        <v>68</v>
      </c>
      <c r="D55">
        <v>0</v>
      </c>
    </row>
    <row r="56" spans="1:4" ht="12.75">
      <c r="A56" s="6" t="s">
        <v>110</v>
      </c>
      <c r="B56">
        <f>D44-(D40-D39)*B43</f>
        <v>0</v>
      </c>
      <c r="C56" s="30" t="s">
        <v>68</v>
      </c>
      <c r="D56">
        <v>0</v>
      </c>
    </row>
    <row r="57" spans="1:3" ht="12.75">
      <c r="A57" s="6" t="s">
        <v>116</v>
      </c>
      <c r="C57" s="30" t="s">
        <v>68</v>
      </c>
    </row>
    <row r="58" spans="1:4" ht="12.75">
      <c r="A58" s="6" t="s">
        <v>73</v>
      </c>
      <c r="B58">
        <f>D45-10^4*B44</f>
        <v>-9523.667214371992</v>
      </c>
      <c r="C58" s="30" t="s">
        <v>68</v>
      </c>
      <c r="D58">
        <v>0</v>
      </c>
    </row>
    <row r="59" spans="1:5" ht="12.75">
      <c r="A59" s="6" t="s">
        <v>74</v>
      </c>
      <c r="B59" s="60">
        <f>SUM(D43:D45)-C32</f>
        <v>271.26354531861784</v>
      </c>
      <c r="C59" s="30" t="s">
        <v>70</v>
      </c>
      <c r="D59">
        <v>0</v>
      </c>
      <c r="E59" s="60"/>
    </row>
    <row r="60" spans="1:3" ht="12.75">
      <c r="A60" s="6" t="s">
        <v>75</v>
      </c>
      <c r="C60" s="30" t="s">
        <v>70</v>
      </c>
    </row>
    <row r="61" spans="1:3" ht="12.75">
      <c r="A61" s="6" t="s">
        <v>76</v>
      </c>
      <c r="C61" s="30" t="s">
        <v>70</v>
      </c>
    </row>
    <row r="62" spans="1:3" ht="12.75">
      <c r="A62" s="6"/>
      <c r="C62" s="13"/>
    </row>
    <row r="63" spans="1:6" ht="15.75">
      <c r="A63" s="99" t="s">
        <v>198</v>
      </c>
      <c r="B63" s="100"/>
      <c r="C63" s="101"/>
      <c r="D63" s="100"/>
      <c r="E63" s="100"/>
      <c r="F63" s="102"/>
    </row>
    <row r="64" spans="1:6" ht="12.75">
      <c r="A64" s="103" t="s">
        <v>88</v>
      </c>
      <c r="B64" s="104">
        <v>0.5</v>
      </c>
      <c r="C64" s="105"/>
      <c r="D64" s="106"/>
      <c r="E64" s="106"/>
      <c r="F64" s="107"/>
    </row>
    <row r="65" spans="1:9" ht="5.25" customHeight="1">
      <c r="A65" s="103"/>
      <c r="B65" s="108"/>
      <c r="C65" s="105"/>
      <c r="D65" s="106"/>
      <c r="E65" s="106"/>
      <c r="F65" s="107"/>
      <c r="I65" s="32"/>
    </row>
    <row r="66" spans="1:7" ht="13.5" customHeight="1">
      <c r="A66" s="109" t="s">
        <v>206</v>
      </c>
      <c r="B66" s="110">
        <f>B38*D43+B39*D44+B40*D45</f>
        <v>142159.93427536104</v>
      </c>
      <c r="C66" s="111" t="s">
        <v>204</v>
      </c>
      <c r="D66" s="112"/>
      <c r="E66" s="112"/>
      <c r="F66" s="113"/>
      <c r="G66" s="94"/>
    </row>
    <row r="67" ht="7.5" customHeight="1">
      <c r="C67" s="43"/>
    </row>
    <row r="68" spans="1:6" ht="15.75">
      <c r="A68" s="99" t="s">
        <v>199</v>
      </c>
      <c r="B68" s="100"/>
      <c r="C68" s="114"/>
      <c r="D68" s="100"/>
      <c r="E68" s="100"/>
      <c r="F68" s="102"/>
    </row>
    <row r="69" spans="1:6" ht="12.75">
      <c r="A69" s="103" t="s">
        <v>88</v>
      </c>
      <c r="B69" s="115">
        <v>0.35</v>
      </c>
      <c r="C69" s="116"/>
      <c r="D69" s="106"/>
      <c r="E69" s="106"/>
      <c r="F69" s="107"/>
    </row>
    <row r="70" spans="1:6" ht="12.75">
      <c r="A70" s="117" t="s">
        <v>200</v>
      </c>
      <c r="B70" s="118">
        <v>5</v>
      </c>
      <c r="C70" s="116"/>
      <c r="D70" s="106"/>
      <c r="E70" s="106"/>
      <c r="F70" s="107"/>
    </row>
    <row r="71" spans="1:6" ht="12.75">
      <c r="A71" s="119" t="s">
        <v>96</v>
      </c>
      <c r="B71" s="125">
        <f>2.095*12/(32+12)</f>
        <v>0.5713636363636364</v>
      </c>
      <c r="C71" s="120" t="s">
        <v>95</v>
      </c>
      <c r="D71" s="106"/>
      <c r="E71" s="106"/>
      <c r="F71" s="107"/>
    </row>
    <row r="72" spans="1:6" ht="12.75">
      <c r="A72" s="121" t="s">
        <v>201</v>
      </c>
      <c r="B72" s="118">
        <f>B70*B71</f>
        <v>2.856818181818182</v>
      </c>
      <c r="C72" s="116" t="s">
        <v>202</v>
      </c>
      <c r="D72" s="106"/>
      <c r="E72" s="106"/>
      <c r="F72" s="107"/>
    </row>
    <row r="73" spans="1:6" ht="25.5">
      <c r="A73" s="121" t="s">
        <v>86</v>
      </c>
      <c r="B73" s="81">
        <v>5</v>
      </c>
      <c r="C73" s="116" t="s">
        <v>211</v>
      </c>
      <c r="D73" s="106"/>
      <c r="E73" s="106"/>
      <c r="F73" s="107"/>
    </row>
    <row r="74" spans="1:6" ht="5.25" customHeight="1">
      <c r="A74" s="122"/>
      <c r="B74" s="123"/>
      <c r="C74" s="116"/>
      <c r="D74" s="106"/>
      <c r="E74" s="106"/>
      <c r="F74" s="107"/>
    </row>
    <row r="75" spans="1:6" ht="24.75" customHeight="1">
      <c r="A75" s="109" t="s">
        <v>207</v>
      </c>
      <c r="B75" s="110">
        <f>(B38+B72)*D43+(B39+B72)*D44+(B40+B72)*D45</f>
        <v>146377.5486197574</v>
      </c>
      <c r="C75" s="111" t="s">
        <v>203</v>
      </c>
      <c r="D75" s="112"/>
      <c r="E75" s="112"/>
      <c r="F75" s="113"/>
    </row>
    <row r="76" ht="8.25" customHeight="1"/>
    <row r="77" spans="1:6" ht="15.75">
      <c r="A77" s="99" t="s">
        <v>205</v>
      </c>
      <c r="B77" s="124"/>
      <c r="C77" s="114"/>
      <c r="D77" s="100"/>
      <c r="E77" s="100"/>
      <c r="F77" s="102"/>
    </row>
    <row r="78" spans="1:6" ht="12.75">
      <c r="A78" s="103" t="s">
        <v>88</v>
      </c>
      <c r="B78" s="115">
        <v>0.15</v>
      </c>
      <c r="C78" s="116"/>
      <c r="D78" s="106"/>
      <c r="E78" s="106"/>
      <c r="F78" s="107"/>
    </row>
    <row r="79" spans="1:6" ht="12.75">
      <c r="A79" s="117" t="s">
        <v>200</v>
      </c>
      <c r="B79" s="118">
        <v>20</v>
      </c>
      <c r="C79" s="116"/>
      <c r="D79" s="106"/>
      <c r="E79" s="106"/>
      <c r="F79" s="107"/>
    </row>
    <row r="80" spans="1:6" ht="12.75">
      <c r="A80" s="119" t="s">
        <v>96</v>
      </c>
      <c r="B80" s="125">
        <f>2.095*12/(32+12)</f>
        <v>0.5713636363636364</v>
      </c>
      <c r="C80" s="120" t="s">
        <v>95</v>
      </c>
      <c r="D80" s="106"/>
      <c r="E80" s="106"/>
      <c r="F80" s="107"/>
    </row>
    <row r="81" spans="1:6" ht="12.75">
      <c r="A81" s="121" t="s">
        <v>201</v>
      </c>
      <c r="B81" s="118">
        <f>B79*B80</f>
        <v>11.427272727272728</v>
      </c>
      <c r="C81" s="116" t="s">
        <v>210</v>
      </c>
      <c r="D81" s="106"/>
      <c r="E81" s="106"/>
      <c r="F81" s="107"/>
    </row>
    <row r="82" spans="1:6" ht="25.5">
      <c r="A82" s="121" t="s">
        <v>86</v>
      </c>
      <c r="B82" s="81">
        <v>5</v>
      </c>
      <c r="C82" s="116" t="s">
        <v>211</v>
      </c>
      <c r="D82" s="106"/>
      <c r="E82" s="106"/>
      <c r="F82" s="107"/>
    </row>
    <row r="83" spans="1:6" ht="5.25" customHeight="1">
      <c r="A83" s="122"/>
      <c r="B83" s="123"/>
      <c r="C83" s="116"/>
      <c r="D83" s="106"/>
      <c r="E83" s="106"/>
      <c r="F83" s="107"/>
    </row>
    <row r="84" spans="1:6" ht="27" customHeight="1">
      <c r="A84" s="109" t="s">
        <v>208</v>
      </c>
      <c r="B84" s="110">
        <f>(B38+B81)*D43+(B39+B81)*D44+(B40+B81)*D45</f>
        <v>159030.39165294654</v>
      </c>
      <c r="C84" s="111" t="s">
        <v>209</v>
      </c>
      <c r="D84" s="112"/>
      <c r="E84" s="112"/>
      <c r="F84" s="113"/>
    </row>
    <row r="86" ht="12.75">
      <c r="C86" s="43"/>
    </row>
    <row r="87" spans="1:7" ht="12.75">
      <c r="A87" s="126" t="s">
        <v>97</v>
      </c>
      <c r="B87" s="95"/>
      <c r="C87" s="95"/>
      <c r="D87" s="95"/>
      <c r="E87" s="95"/>
      <c r="F87" s="95"/>
      <c r="G87" s="96"/>
    </row>
    <row r="88" spans="1:7" ht="12.75">
      <c r="A88" s="127" t="s">
        <v>98</v>
      </c>
      <c r="B88" s="9" t="s">
        <v>99</v>
      </c>
      <c r="C88" s="9"/>
      <c r="D88" s="9"/>
      <c r="E88" s="9"/>
      <c r="F88" s="9"/>
      <c r="G88" s="74">
        <f>SUMPRODUCT(J20:J24,L20:L24)*B4</f>
        <v>736500</v>
      </c>
    </row>
    <row r="89" spans="1:7" ht="12.75">
      <c r="A89" s="127" t="s">
        <v>100</v>
      </c>
      <c r="B89" s="9" t="s">
        <v>101</v>
      </c>
      <c r="C89" s="9"/>
      <c r="D89" s="9"/>
      <c r="E89" s="9"/>
      <c r="F89" s="9"/>
      <c r="G89" s="74">
        <f>SUMPRODUCT(D20:D24,F20:F24)*B4</f>
        <v>765000</v>
      </c>
    </row>
    <row r="90" spans="1:7" ht="12.75">
      <c r="A90" s="127" t="s">
        <v>102</v>
      </c>
      <c r="B90" s="9" t="s">
        <v>103</v>
      </c>
      <c r="C90" s="9"/>
      <c r="D90" s="9"/>
      <c r="E90" s="9"/>
      <c r="F90" s="9"/>
      <c r="G90" s="74">
        <f>B33</f>
        <v>142159.93427536104</v>
      </c>
    </row>
    <row r="91" spans="1:7" ht="12.75">
      <c r="A91" s="127" t="s">
        <v>104</v>
      </c>
      <c r="B91" s="9" t="s">
        <v>105</v>
      </c>
      <c r="C91" s="9"/>
      <c r="D91" s="9"/>
      <c r="E91" s="9"/>
      <c r="F91" s="9"/>
      <c r="G91" s="75">
        <v>20</v>
      </c>
    </row>
    <row r="92" spans="1:7" ht="12.75">
      <c r="A92" s="128"/>
      <c r="B92" s="129"/>
      <c r="C92" s="129"/>
      <c r="D92" s="129"/>
      <c r="E92" s="129"/>
      <c r="F92" s="9"/>
      <c r="G92" s="135"/>
    </row>
    <row r="93" spans="1:7" ht="25.5" customHeight="1">
      <c r="A93" s="128" t="s">
        <v>106</v>
      </c>
      <c r="B93" s="136" t="s">
        <v>215</v>
      </c>
      <c r="C93" s="137" t="s">
        <v>212</v>
      </c>
      <c r="D93" s="138"/>
      <c r="E93" s="138"/>
      <c r="F93" s="139"/>
      <c r="G93" s="140">
        <f>B64*G91*B66</f>
        <v>1421599.3427536103</v>
      </c>
    </row>
    <row r="94" spans="1:7" ht="25.5">
      <c r="A94" s="128"/>
      <c r="B94" s="136" t="s">
        <v>216</v>
      </c>
      <c r="C94" s="137" t="s">
        <v>213</v>
      </c>
      <c r="D94" s="138"/>
      <c r="E94" s="138"/>
      <c r="F94" s="139"/>
      <c r="G94" s="140">
        <f>B69*(B73*B66+(G91-B73)*B75)</f>
        <v>1017262.0152356082</v>
      </c>
    </row>
    <row r="95" spans="1:7" ht="25.5">
      <c r="A95" s="128"/>
      <c r="B95" s="136" t="s">
        <v>217</v>
      </c>
      <c r="C95" s="137" t="s">
        <v>214</v>
      </c>
      <c r="D95" s="138"/>
      <c r="E95" s="138"/>
      <c r="F95" s="139"/>
      <c r="G95" s="140">
        <f>B78*(B82*B66+(G91-B82)*B84)</f>
        <v>464438.33192565053</v>
      </c>
    </row>
    <row r="96" spans="1:7" ht="15" customHeight="1">
      <c r="A96" s="128"/>
      <c r="C96" s="134" t="s">
        <v>218</v>
      </c>
      <c r="D96" s="133"/>
      <c r="E96" s="133"/>
      <c r="F96" s="9"/>
      <c r="G96" s="77">
        <f>G88+G89+SUM(G93:G95)</f>
        <v>4404799.689914869</v>
      </c>
    </row>
    <row r="97" spans="1:7" ht="12.75">
      <c r="A97" s="130"/>
      <c r="B97" s="97"/>
      <c r="C97" s="131"/>
      <c r="D97" s="132"/>
      <c r="E97" s="132"/>
      <c r="F97" s="132"/>
      <c r="G97" s="98"/>
    </row>
  </sheetData>
  <mergeCells count="1">
    <mergeCell ref="B8:B9"/>
  </mergeCells>
  <printOptions/>
  <pageMargins left="0.75" right="0.75" top="1" bottom="1" header="0.5" footer="0.5"/>
  <pageSetup horizontalDpi="300" verticalDpi="300" orientation="landscape" scale="3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Leaders for Manufacturing, 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C. Graves</dc:creator>
  <cp:keywords/>
  <dc:description/>
  <cp:lastModifiedBy>Matthew Palmer</cp:lastModifiedBy>
  <cp:lastPrinted>2003-08-10T11:44:50Z</cp:lastPrinted>
  <dcterms:created xsi:type="dcterms:W3CDTF">2003-08-07T15:38:07Z</dcterms:created>
  <dcterms:modified xsi:type="dcterms:W3CDTF">2004-03-02T22:00:22Z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-407002557</vt:i4>
  </property>
  <property fmtid="{D5CDD505-2E9C-101B-9397-08002B2CF9AE}" pid="3" name="_EmailSubject">
    <vt:lpwstr>Group 3 Group Project, Model, and Presentation</vt:lpwstr>
  </property>
  <property fmtid="{D5CDD505-2E9C-101B-9397-08002B2CF9AE}" pid="4" name="_AuthorEmail">
    <vt:lpwstr>cabac@MIT.EDU</vt:lpwstr>
  </property>
  <property fmtid="{D5CDD505-2E9C-101B-9397-08002B2CF9AE}" pid="5" name="_AuthorEmailDisplayName">
    <vt:lpwstr>Christian Caballero</vt:lpwstr>
  </property>
  <property fmtid="{D5CDD505-2E9C-101B-9397-08002B2CF9AE}" pid="6" name="_PreviousAdHocReviewCycleID">
    <vt:i4>1470488651</vt:i4>
  </property>
  <property fmtid="{D5CDD505-2E9C-101B-9397-08002B2CF9AE}" pid="7" name="_ReviewingToolsShownOnce">
    <vt:lpwstr/>
  </property>
</Properties>
</file>