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65" windowHeight="14295" activeTab="2"/>
  </bookViews>
  <sheets>
    <sheet name="StructureCalcs" sheetId="1" r:id="rId1"/>
    <sheet name="Hydro" sheetId="2" r:id="rId2"/>
    <sheet name="Sheet3" sheetId="3" r:id="rId3"/>
  </sheets>
  <definedNames>
    <definedName name="girdata">'StructureCalcs'!$A$10:$K$12</definedName>
    <definedName name="_xlnm.Print_Area" localSheetId="1">'Hydro'!$A$1:$P$24</definedName>
    <definedName name="_xlnm.Print_Area" localSheetId="0">'StructureCalcs'!$A$1:$Q$40</definedName>
    <definedName name="stiffdata">'StructureCalcs'!$A$5:$K$6</definedName>
  </definedNames>
  <calcPr fullCalcOnLoad="1"/>
</workbook>
</file>

<file path=xl/sharedStrings.xml><?xml version="1.0" encoding="utf-8"?>
<sst xmlns="http://schemas.openxmlformats.org/spreadsheetml/2006/main" count="165" uniqueCount="105">
  <si>
    <t>ID</t>
  </si>
  <si>
    <t>Stiffener Catalog (T bar)</t>
  </si>
  <si>
    <t>web height (in)</t>
  </si>
  <si>
    <t>web thickness (in)</t>
  </si>
  <si>
    <t>flange breadth (in)</t>
  </si>
  <si>
    <t>flange thickness (in)</t>
  </si>
  <si>
    <r>
      <t>Area 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</si>
  <si>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Iz</t>
  </si>
  <si>
    <t>Iy</t>
  </si>
  <si>
    <t>weight/ft (lbs/ft)</t>
  </si>
  <si>
    <t>NAy (in) [from web/plate interface]</t>
  </si>
  <si>
    <t>NAz (in) [from web/plate interface]</t>
  </si>
  <si>
    <t>Girder Catalog(T bar)</t>
  </si>
  <si>
    <t>Strake Definition</t>
  </si>
  <si>
    <t>Reference Point</t>
  </si>
  <si>
    <t>reference 1</t>
  </si>
  <si>
    <t>reference 2</t>
  </si>
  <si>
    <t>Z(in)</t>
  </si>
  <si>
    <t>Y(in)</t>
  </si>
  <si>
    <t>Number of Stiffners</t>
  </si>
  <si>
    <t>Stiffener Category Number</t>
  </si>
  <si>
    <t>Girder Catalog Number</t>
  </si>
  <si>
    <t>Area (in2)</t>
  </si>
  <si>
    <t>Weight/ft (lbs/ft)</t>
  </si>
  <si>
    <t>NA</t>
  </si>
  <si>
    <t>Plate Thickness (in)</t>
  </si>
  <si>
    <t>theta(RADIANS)</t>
  </si>
  <si>
    <t>STIFF AREA</t>
  </si>
  <si>
    <t>STIFF NA</t>
  </si>
  <si>
    <t>GIRD AREA</t>
  </si>
  <si>
    <t>GIRD NA</t>
  </si>
  <si>
    <t>STIFF Iz</t>
  </si>
  <si>
    <t>STIFF Iy</t>
  </si>
  <si>
    <t>GIRD Iz</t>
  </si>
  <si>
    <t>GIRD Iy</t>
  </si>
  <si>
    <t>IY1</t>
  </si>
  <si>
    <t>IY2</t>
  </si>
  <si>
    <t>IY3</t>
  </si>
  <si>
    <t>IY4</t>
  </si>
  <si>
    <t>IY5</t>
  </si>
  <si>
    <t>IY6</t>
  </si>
  <si>
    <t>IY7</t>
  </si>
  <si>
    <t>IYG</t>
  </si>
  <si>
    <t>M3Y</t>
  </si>
  <si>
    <t>M4Y</t>
  </si>
  <si>
    <t>M5Y</t>
  </si>
  <si>
    <t>M6Y</t>
  </si>
  <si>
    <t>M7Y</t>
  </si>
  <si>
    <t>M2Y</t>
  </si>
  <si>
    <t>M1Y</t>
  </si>
  <si>
    <t>QY</t>
  </si>
  <si>
    <t>PY</t>
  </si>
  <si>
    <t>IZ FLAT</t>
  </si>
  <si>
    <t>IYP</t>
  </si>
  <si>
    <t>IY FLAT</t>
  </si>
  <si>
    <t>STIFF1</t>
  </si>
  <si>
    <t>STIFF2</t>
  </si>
  <si>
    <t>GIRDER1</t>
  </si>
  <si>
    <t>GIRDER2</t>
  </si>
  <si>
    <t>GIRDER3</t>
  </si>
  <si>
    <t>Results</t>
  </si>
  <si>
    <t>Neutral Axis from Keel (ft)</t>
  </si>
  <si>
    <t>QTZ</t>
  </si>
  <si>
    <t>U</t>
  </si>
  <si>
    <t>D</t>
  </si>
  <si>
    <t>Strake Orientation U/D/V</t>
  </si>
  <si>
    <t>V</t>
  </si>
  <si>
    <t>ITZ</t>
  </si>
  <si>
    <t>NA y flat</t>
  </si>
  <si>
    <t>NA z flat</t>
  </si>
  <si>
    <t>Problem Set 1: Part B Solutions</t>
  </si>
  <si>
    <r>
      <t>Total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</si>
  <si>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Moment of Inertia (ft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</si>
  <si>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t>Structural Weight (lbs/ft)</t>
  </si>
  <si>
    <t>NA (in) [from center of plate along y axis]</t>
  </si>
  <si>
    <t>NA (in) [from reference point 1 along z axis]</t>
  </si>
  <si>
    <t>Length (in)</t>
  </si>
  <si>
    <r>
      <t>Iz (in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</si>
  <si>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r>
      <t>Iy (in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</si>
  <si>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t>Problem Set 1 Part B Solutions</t>
  </si>
  <si>
    <t>Waterline (ft)</t>
  </si>
  <si>
    <t>Bouyant Force (lb)</t>
  </si>
  <si>
    <r>
      <t>Total Station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</si>
  <si>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Half-Breadth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</si>
  <si>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Shear Force (lb)</t>
  </si>
  <si>
    <t>Node Points</t>
  </si>
  <si>
    <t>Y</t>
  </si>
  <si>
    <t>Z</t>
  </si>
  <si>
    <t>Plate thic:</t>
  </si>
  <si>
    <t>Garea:</t>
  </si>
  <si>
    <t>Sarea:</t>
  </si>
  <si>
    <t>Area</t>
  </si>
  <si>
    <t>MomentArm</t>
  </si>
  <si>
    <t>Sy</t>
  </si>
  <si>
    <t>tao</t>
  </si>
  <si>
    <t>Qy:</t>
  </si>
  <si>
    <t>Iz:</t>
  </si>
  <si>
    <t>NA:</t>
  </si>
  <si>
    <t>S</t>
  </si>
  <si>
    <t>S starts over</t>
  </si>
  <si>
    <t>Starts over for second deck)</t>
  </si>
  <si>
    <t>S restarts from vertical direction</t>
  </si>
  <si>
    <t>S restarts for 3rd deck</t>
  </si>
  <si>
    <t>S restarts for 4th deck</t>
  </si>
  <si>
    <t>(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</si>
</sst>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4" fillId="2" borderId="8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 wrapText="1"/>
    </xf>
    <xf numFmtId="49" fontId="0" fillId="0" borderId="9" xfId="0" applyNumberFormat="1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Bonjean Curve for Station 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Hydro!$A$25:$A$37</c:f>
              <c:numCache/>
            </c:numRef>
          </c:xVal>
          <c:yVal>
            <c:numRef>
              <c:f>Hydro!$B$25:$B$37</c:f>
              <c:numCache/>
            </c:numRef>
          </c:yVal>
          <c:smooth val="0"/>
        </c:ser>
        <c:axId val="46431557"/>
        <c:axId val="15230830"/>
      </c:scatterChart>
      <c:valAx>
        <c:axId val="46431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Area/600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30830"/>
        <c:crosses val="autoZero"/>
        <c:crossBetween val="midCat"/>
        <c:dispUnits/>
      </c:valAx>
      <c:valAx>
        <c:axId val="15230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Waterline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31557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76200</xdr:rowOff>
    </xdr:from>
    <xdr:to>
      <xdr:col>15</xdr:col>
      <xdr:colOff>19050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267075" y="76200"/>
        <a:ext cx="5895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0"/>
  <sheetViews>
    <sheetView workbookViewId="0" topLeftCell="A1">
      <selection activeCell="H40" sqref="H40"/>
    </sheetView>
  </sheetViews>
  <sheetFormatPr defaultColWidth="9.140625" defaultRowHeight="12.75"/>
  <cols>
    <col min="11" max="11" width="10.57421875" style="0" customWidth="1"/>
    <col min="15" max="15" width="10.140625" style="0" customWidth="1"/>
    <col min="16" max="16" width="9.7109375" style="0" customWidth="1"/>
    <col min="28" max="28" width="12.421875" style="0" bestFit="1" customWidth="1"/>
    <col min="36" max="36" width="12.421875" style="0" bestFit="1" customWidth="1"/>
    <col min="37" max="38" width="12.421875" style="0" customWidth="1"/>
    <col min="51" max="51" width="10.00390625" style="0" bestFit="1" customWidth="1"/>
  </cols>
  <sheetData>
    <row r="1" spans="1:17" ht="18">
      <c r="A1" s="27" t="s">
        <v>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3" spans="1:12" ht="13.5" thickBo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1" ht="51">
      <c r="A4" s="21" t="s">
        <v>0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10</v>
      </c>
      <c r="H4" s="14" t="s">
        <v>11</v>
      </c>
      <c r="I4" s="14" t="s">
        <v>7</v>
      </c>
      <c r="J4" s="14" t="s">
        <v>8</v>
      </c>
      <c r="K4" s="15" t="s">
        <v>9</v>
      </c>
    </row>
    <row r="5" spans="1:11" ht="12.75">
      <c r="A5" s="16" t="s">
        <v>55</v>
      </c>
      <c r="B5" s="12">
        <v>9.87</v>
      </c>
      <c r="C5" s="12">
        <v>0.19</v>
      </c>
      <c r="D5" s="12">
        <v>3.96</v>
      </c>
      <c r="E5" s="12">
        <v>0.21</v>
      </c>
      <c r="F5" s="12">
        <f>B5*C5+D5*E5</f>
        <v>2.7069</v>
      </c>
      <c r="G5" s="12">
        <f>(B5*C5*B5/2+D5*E5*(B5+E5/2))/F5</f>
        <v>6.4833630721489515</v>
      </c>
      <c r="H5" s="12">
        <v>0</v>
      </c>
      <c r="I5" s="12">
        <f>C5*B5^3/12+B5*C5*(B5/2-G5)^2+D5*E5^3/12+D5*E5*(B5+E5/2-G5)^2</f>
        <v>29.861254334272694</v>
      </c>
      <c r="J5" s="12">
        <f>B5*C5^3/12+E5*D5^3/12</f>
        <v>1.0923764074999998</v>
      </c>
      <c r="K5" s="17">
        <f>489*F5/144</f>
        <v>9.192181249999999</v>
      </c>
    </row>
    <row r="6" spans="1:11" ht="13.5" thickBot="1">
      <c r="A6" s="18" t="s">
        <v>56</v>
      </c>
      <c r="B6" s="19"/>
      <c r="C6" s="19"/>
      <c r="D6" s="19"/>
      <c r="E6" s="19"/>
      <c r="F6" s="19"/>
      <c r="G6" s="19"/>
      <c r="H6" s="19"/>
      <c r="I6" s="19"/>
      <c r="J6" s="19"/>
      <c r="K6" s="20"/>
    </row>
    <row r="8" spans="1:12" ht="13.5" thickBot="1">
      <c r="A8" s="32" t="s">
        <v>12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1" ht="51">
      <c r="A9" s="21" t="s">
        <v>0</v>
      </c>
      <c r="B9" s="14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14" t="s">
        <v>10</v>
      </c>
      <c r="H9" s="14" t="s">
        <v>11</v>
      </c>
      <c r="I9" s="14" t="s">
        <v>7</v>
      </c>
      <c r="J9" s="14" t="s">
        <v>8</v>
      </c>
      <c r="K9" s="15" t="s">
        <v>9</v>
      </c>
    </row>
    <row r="10" spans="1:11" ht="12.75">
      <c r="A10" s="16" t="s">
        <v>57</v>
      </c>
      <c r="B10" s="12">
        <v>13.91</v>
      </c>
      <c r="C10" s="12">
        <v>0.255</v>
      </c>
      <c r="D10" s="12">
        <v>5.03</v>
      </c>
      <c r="E10" s="12">
        <v>0.42</v>
      </c>
      <c r="F10" s="12">
        <f>B10*C10+D10*E10</f>
        <v>5.65965</v>
      </c>
      <c r="G10" s="12">
        <f>(B10*C10*B10/2+D10*E10*(B10+E10/2))/F10</f>
        <v>9.62950796427341</v>
      </c>
      <c r="H10" s="12">
        <v>0</v>
      </c>
      <c r="I10" s="12">
        <f>C10*B10^3/12+B10*C10*(B10/2-G10)^2+D10*E10^3/12+D10*E10*(B10+E10/2-G10)^2</f>
        <v>125.19530452480353</v>
      </c>
      <c r="J10" s="12">
        <f>B10*C10^3/12+E10*D10^3/12</f>
        <v>4.4734440221875005</v>
      </c>
      <c r="K10" s="17">
        <f>F10*489/144</f>
        <v>19.219228125</v>
      </c>
    </row>
    <row r="11" spans="1:11" ht="12.75">
      <c r="A11" s="16" t="s">
        <v>58</v>
      </c>
      <c r="B11" s="12">
        <f>B10</f>
        <v>13.91</v>
      </c>
      <c r="C11" s="12">
        <f>C10/2</f>
        <v>0.1275</v>
      </c>
      <c r="D11" s="12">
        <f>D10/2</f>
        <v>2.515</v>
      </c>
      <c r="E11" s="12">
        <f>E10</f>
        <v>0.42</v>
      </c>
      <c r="F11" s="12">
        <f>B11*C11+D11*E11</f>
        <v>2.829825</v>
      </c>
      <c r="G11" s="12">
        <f>(B11*C11*B11/2+D11*E11*(B11+E11/2))/F11</f>
        <v>9.62950796427341</v>
      </c>
      <c r="H11" s="12" t="s">
        <v>24</v>
      </c>
      <c r="I11" s="12">
        <f>C11*B11^3/12+B11*C11*(B11/2-G11)^2+D11*E11^3/12+D11*E11*(B11+E11/2-G11)^2</f>
        <v>62.597652262401766</v>
      </c>
      <c r="J11" s="12">
        <f>B11*C11^3/12+E11*D11^3/12</f>
        <v>0.5591805027734376</v>
      </c>
      <c r="K11" s="17">
        <f>F11*489/144</f>
        <v>9.6096140625</v>
      </c>
    </row>
    <row r="12" spans="1:11" ht="13.5" thickBot="1">
      <c r="A12" s="18" t="s">
        <v>59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0">
        <v>0</v>
      </c>
    </row>
    <row r="13" ht="14.25" customHeight="1"/>
    <row r="14" spans="1:17" ht="13.5" thickBot="1">
      <c r="A14" s="32" t="s">
        <v>13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26.25" customHeight="1">
      <c r="A15" s="28" t="s">
        <v>0</v>
      </c>
      <c r="B15" s="30" t="s">
        <v>14</v>
      </c>
      <c r="C15" s="30"/>
      <c r="D15" s="30"/>
      <c r="E15" s="30"/>
      <c r="F15" s="30" t="s">
        <v>19</v>
      </c>
      <c r="G15" s="30" t="s">
        <v>25</v>
      </c>
      <c r="H15" s="30" t="s">
        <v>20</v>
      </c>
      <c r="I15" s="30" t="s">
        <v>21</v>
      </c>
      <c r="J15" s="30" t="s">
        <v>74</v>
      </c>
      <c r="K15" s="30" t="s">
        <v>75</v>
      </c>
      <c r="L15" s="30" t="s">
        <v>22</v>
      </c>
      <c r="M15" s="30" t="s">
        <v>77</v>
      </c>
      <c r="N15" s="30" t="s">
        <v>78</v>
      </c>
      <c r="O15" s="30" t="s">
        <v>65</v>
      </c>
      <c r="P15" s="30" t="s">
        <v>23</v>
      </c>
      <c r="Q15" s="24"/>
    </row>
    <row r="16" spans="1:41" ht="14.25" customHeight="1">
      <c r="A16" s="29"/>
      <c r="B16" s="31" t="s">
        <v>15</v>
      </c>
      <c r="C16" s="31"/>
      <c r="D16" s="31" t="s">
        <v>16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7"/>
      <c r="AL16">
        <v>0</v>
      </c>
      <c r="AM16">
        <f>SUM($AB$18:$AI$18)/$L$18*COS($R$18)-($AA$18/$L$18)*SIN($R$18)</f>
        <v>57.776586121857285</v>
      </c>
      <c r="AN16">
        <f>SUM($AB$19:$AI$19)/$L$19*COS($R$19)-($AA$19/$L$19)*SIN($R$19)</f>
        <v>55.712069641507604</v>
      </c>
      <c r="AO16">
        <v>60</v>
      </c>
    </row>
    <row r="17" spans="1:50" ht="21.75" customHeight="1">
      <c r="A17" s="29"/>
      <c r="B17" s="11" t="s">
        <v>17</v>
      </c>
      <c r="C17" s="11" t="s">
        <v>18</v>
      </c>
      <c r="D17" s="11" t="s">
        <v>17</v>
      </c>
      <c r="E17" s="11" t="s">
        <v>18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7" t="s">
        <v>76</v>
      </c>
      <c r="R17" t="s">
        <v>26</v>
      </c>
      <c r="S17" t="s">
        <v>27</v>
      </c>
      <c r="T17" t="s">
        <v>28</v>
      </c>
      <c r="U17" t="s">
        <v>31</v>
      </c>
      <c r="V17" t="s">
        <v>32</v>
      </c>
      <c r="W17" t="s">
        <v>29</v>
      </c>
      <c r="X17" t="s">
        <v>30</v>
      </c>
      <c r="Y17" t="s">
        <v>33</v>
      </c>
      <c r="Z17" t="s">
        <v>34</v>
      </c>
      <c r="AA17" t="s">
        <v>50</v>
      </c>
      <c r="AB17" t="s">
        <v>49</v>
      </c>
      <c r="AC17" t="s">
        <v>48</v>
      </c>
      <c r="AD17" t="s">
        <v>43</v>
      </c>
      <c r="AE17" t="s">
        <v>44</v>
      </c>
      <c r="AF17" t="s">
        <v>45</v>
      </c>
      <c r="AG17" t="s">
        <v>46</v>
      </c>
      <c r="AH17" t="s">
        <v>47</v>
      </c>
      <c r="AI17" t="s">
        <v>51</v>
      </c>
      <c r="AJ17" t="s">
        <v>68</v>
      </c>
      <c r="AK17" t="s">
        <v>69</v>
      </c>
      <c r="AL17" t="s">
        <v>52</v>
      </c>
      <c r="AM17" t="s">
        <v>35</v>
      </c>
      <c r="AN17" t="s">
        <v>36</v>
      </c>
      <c r="AO17" t="s">
        <v>37</v>
      </c>
      <c r="AP17" t="s">
        <v>38</v>
      </c>
      <c r="AQ17" t="s">
        <v>39</v>
      </c>
      <c r="AR17" t="s">
        <v>40</v>
      </c>
      <c r="AS17" t="s">
        <v>41</v>
      </c>
      <c r="AT17" t="s">
        <v>42</v>
      </c>
      <c r="AU17" t="s">
        <v>53</v>
      </c>
      <c r="AV17" t="s">
        <v>54</v>
      </c>
      <c r="AW17" t="s">
        <v>62</v>
      </c>
      <c r="AX17" t="s">
        <v>67</v>
      </c>
    </row>
    <row r="18" spans="1:52" ht="12.75">
      <c r="A18" s="16">
        <v>1</v>
      </c>
      <c r="B18" s="12">
        <v>0</v>
      </c>
      <c r="C18" s="12">
        <v>0</v>
      </c>
      <c r="D18" s="12">
        <v>120</v>
      </c>
      <c r="E18" s="12">
        <v>0</v>
      </c>
      <c r="F18" s="12">
        <v>5</v>
      </c>
      <c r="G18" s="12">
        <v>0.5</v>
      </c>
      <c r="H18" s="12" t="s">
        <v>55</v>
      </c>
      <c r="I18" s="12" t="s">
        <v>58</v>
      </c>
      <c r="J18" s="12">
        <f>(AA18/L18)*COS(R18)+SUM(AB18:AI18)/L18*SIN(R18)</f>
        <v>1.5594975942627658</v>
      </c>
      <c r="K18" s="12">
        <f>SUM(AB18:AI18)/L18*COS(R18)-(AA18/L18)*SIN(R18)</f>
        <v>57.776586121857285</v>
      </c>
      <c r="L18" s="12">
        <f aca="true" t="shared" si="0" ref="L18:L33">(Q18*G18)+(F18*S18)+W18</f>
        <v>76.36432500000001</v>
      </c>
      <c r="M18" s="12">
        <f>AL18*(COS(R18))^2+AV18*(SIN(R18))^2</f>
        <v>917.2671153822644</v>
      </c>
      <c r="N18" s="12">
        <f>AL18*(SIN(R18))^2+AV18*(COS(R18))^2</f>
        <v>92643.47873187737</v>
      </c>
      <c r="O18" s="23" t="s">
        <v>63</v>
      </c>
      <c r="P18" s="12">
        <f>L18*489/144</f>
        <v>259.32052031250004</v>
      </c>
      <c r="Q18" s="17">
        <f>SQRT((D18-B18)^2+(E18-C18)^2)</f>
        <v>120</v>
      </c>
      <c r="R18">
        <f>ATAN2((D18-B18),(E18-C18))</f>
        <v>0</v>
      </c>
      <c r="S18">
        <f>VLOOKUP(H18,stiffdata,6,TRUE)</f>
        <v>2.7069</v>
      </c>
      <c r="T18">
        <f>VLOOKUP(H18,stiffdata,7,TRUE)</f>
        <v>6.4833630721489515</v>
      </c>
      <c r="U18">
        <f>VLOOKUP(H18,stiffdata,9,TRUE)</f>
        <v>29.861254334272694</v>
      </c>
      <c r="V18">
        <f>VLOOKUP(H18,stiffdata,10,TRUE)</f>
        <v>1.0923764074999998</v>
      </c>
      <c r="W18">
        <f>VLOOKUP(I18,girdata,6,TRUE)</f>
        <v>2.829825</v>
      </c>
      <c r="X18">
        <f>VLOOKUP(I18,girdata,7,TRUE)</f>
        <v>9.62950796427341</v>
      </c>
      <c r="Y18">
        <f>VLOOKUP(I18,girdata,9,TRUE)</f>
        <v>62.597652262401766</v>
      </c>
      <c r="Z18">
        <f>VLOOKUP(I18,girdata,10,TRUE)</f>
        <v>0.5591805027734376</v>
      </c>
      <c r="AA18">
        <f aca="true" t="shared" si="1" ref="AA18:AA33">(F18*S18*(T18+G18/2))+W18*(X18+G18/2)</f>
        <v>119.089981125</v>
      </c>
      <c r="AB18">
        <f aca="true" t="shared" si="2" ref="AB18:AB33">Q18/(F18+1)*S18</f>
        <v>54.138000000000005</v>
      </c>
      <c r="AC18">
        <f aca="true" t="shared" si="3" ref="AC18:AC33">(2*Q18/(F18+1)*S18)</f>
        <v>108.27600000000001</v>
      </c>
      <c r="AD18">
        <f aca="true" t="shared" si="4" ref="AD18:AD33">3*Q18/(F18+1)*S18</f>
        <v>162.41400000000002</v>
      </c>
      <c r="AE18">
        <f aca="true" t="shared" si="5" ref="AE18:AE33">IF(F18&gt;=4,4*Q18/(F18+1)*S18,)</f>
        <v>216.55200000000002</v>
      </c>
      <c r="AF18">
        <f aca="true" t="shared" si="6" ref="AF18:AF33">IF(F18&gt;=5,5*Q18/(F18+1)*S18,)</f>
        <v>270.69</v>
      </c>
      <c r="AG18">
        <f aca="true" t="shared" si="7" ref="AG18:AG33">IF(F18&gt;=6,6*Q18/(F18+1)*S18,)</f>
        <v>0</v>
      </c>
      <c r="AH18">
        <f aca="true" t="shared" si="8" ref="AH18:AH33">IF(F18&gt;=7,7*Q18/(F18+1)*S18,)</f>
        <v>0</v>
      </c>
      <c r="AI18">
        <f aca="true" t="shared" si="9" ref="AI18:AI33">G18*Q18*Q18/2</f>
        <v>3600</v>
      </c>
      <c r="AJ18">
        <f>AA18/L18</f>
        <v>1.5594975942627658</v>
      </c>
      <c r="AK18">
        <f>SUM(AB18:AI18)/L18</f>
        <v>57.776586121857285</v>
      </c>
      <c r="AL18">
        <f aca="true" t="shared" si="10" ref="AL18:AL33">(Q18*G18^3/12+Q18*G18*AJ18^2)+F18*(U18+S18*(T18+G18/2-AJ18)^2)+(Y18+W18*(X18+G18/2-AJ18)^2)</f>
        <v>917.2671153822644</v>
      </c>
      <c r="AM18">
        <f aca="true" t="shared" si="11" ref="AM18:AM33">V18+S18*(Q18/(F18+1)-AK18)^2</f>
        <v>3864.029401934424</v>
      </c>
      <c r="AN18">
        <f aca="true" t="shared" si="12" ref="AN18:AN33">V18+S18*(2*Q18/(F18+1)-AK18)^2</f>
        <v>856.4917630042044</v>
      </c>
      <c r="AO18">
        <f aca="true" t="shared" si="13" ref="AO18:AO33">V18+S18*(3*Q18/(F18+1)-AK18)^2</f>
        <v>14.474124073984866</v>
      </c>
      <c r="AP18">
        <f aca="true" t="shared" si="14" ref="AP18:AP33">IF(F18&gt;=4,V18+S18*(4*Q18/(F18+1)-AK18)^2,0)</f>
        <v>1337.9764851437656</v>
      </c>
      <c r="AQ18">
        <f aca="true" t="shared" si="15" ref="AQ18:AQ33">IF(F18&gt;=5,V18+S18*(5*Q18/(F18+1)-AK18)^2,0)</f>
        <v>4826.998846213546</v>
      </c>
      <c r="AR18">
        <f aca="true" t="shared" si="16" ref="AR18:AR33">IF(F18&gt;=6,V18+S18*(6*Q18/(F18+1)-AK18)^2,0)</f>
        <v>0</v>
      </c>
      <c r="AS18">
        <f aca="true" t="shared" si="17" ref="AS18:AS33">IF(F18&gt;=7,V18+S18*(7*Q18/(F18+1)-AK18)^2,0)</f>
        <v>0</v>
      </c>
      <c r="AT18">
        <f>Z18+W18*AK18^2</f>
        <v>9446.893955096382</v>
      </c>
      <c r="AU18">
        <f aca="true" t="shared" si="18" ref="AU18:AU33">G18*Q18^3/12+G18*Q18*(Q18/2-AK18)^2</f>
        <v>72296.61415641106</v>
      </c>
      <c r="AV18">
        <f>SUM(AM18:AU18)</f>
        <v>92643.47873187737</v>
      </c>
      <c r="AW18">
        <f aca="true" t="shared" si="19" ref="AW18:AW33">IF(O18="U",(C18+J18)*L18,IF(O18="D",(C18-J18)*L18,IF(O18="V",(C18+J18)*L18,)))</f>
        <v>119.089981125</v>
      </c>
      <c r="AX18">
        <f aca="true" t="shared" si="20" ref="AX18:AX33">IF(O18="U",M18+L18*(C18+J18-AY$37)^2,IF(O18="D",M18+L18*(C18-J18-AY$37)^2,IF(O18="V",M18+L18*(C18+J18-AY$37)^2,)))</f>
        <v>4428245.914305838</v>
      </c>
      <c r="AY18">
        <f>AX18/12^4</f>
        <v>213.55352595996519</v>
      </c>
      <c r="AZ18">
        <f>M18/12^4</f>
        <v>0.044235489746444076</v>
      </c>
    </row>
    <row r="19" spans="1:52" ht="12.75">
      <c r="A19" s="16">
        <v>2</v>
      </c>
      <c r="B19" s="12">
        <v>120</v>
      </c>
      <c r="C19" s="12">
        <v>0</v>
      </c>
      <c r="D19" s="12">
        <v>240</v>
      </c>
      <c r="E19" s="12">
        <v>0</v>
      </c>
      <c r="F19" s="12">
        <v>5</v>
      </c>
      <c r="G19" s="12">
        <v>0.5</v>
      </c>
      <c r="H19" s="12" t="s">
        <v>55</v>
      </c>
      <c r="I19" s="12" t="s">
        <v>57</v>
      </c>
      <c r="J19" s="12">
        <f>(AA19/L19)*COS(R19)+SUM(AB19:AI19)/L19*SIN(R19)</f>
        <v>1.856794469667267</v>
      </c>
      <c r="K19" s="12">
        <f>SUM(AB19:AI19)/L19*COS(R19)-(AA19/L19)*SIN(R19)</f>
        <v>55.712069641507604</v>
      </c>
      <c r="L19" s="12">
        <f t="shared" si="0"/>
        <v>79.19415000000001</v>
      </c>
      <c r="M19" s="12">
        <f aca="true" t="shared" si="21" ref="M19:M33">AL19*(COS(R19))^2+AV19*(SIN(R19))^2</f>
        <v>1168.7529248614737</v>
      </c>
      <c r="N19" s="12">
        <f aca="true" t="shared" si="22" ref="N19:N33">AL19*(SIN(R19))^2+AV19*(COS(R19))^2</f>
        <v>101756.18422285319</v>
      </c>
      <c r="O19" s="23" t="s">
        <v>63</v>
      </c>
      <c r="P19" s="12">
        <f aca="true" t="shared" si="23" ref="P19:P33">L19*489/144</f>
        <v>268.930134375</v>
      </c>
      <c r="Q19" s="17">
        <f aca="true" t="shared" si="24" ref="Q19:Q33">SQRT((D19-B19)^2+(E19-C19)^2)</f>
        <v>120</v>
      </c>
      <c r="R19">
        <f aca="true" t="shared" si="25" ref="R19:R33">ATAN2((D19-B19),(E19-C19))</f>
        <v>0</v>
      </c>
      <c r="S19">
        <f aca="true" t="shared" si="26" ref="S19:S33">VLOOKUP(H19,stiffdata,6,TRUE)</f>
        <v>2.7069</v>
      </c>
      <c r="T19">
        <f aca="true" t="shared" si="27" ref="T19:T33">VLOOKUP(H19,stiffdata,7,TRUE)</f>
        <v>6.4833630721489515</v>
      </c>
      <c r="U19">
        <f aca="true" t="shared" si="28" ref="U19:U33">VLOOKUP(H19,stiffdata,9,TRUE)</f>
        <v>29.861254334272694</v>
      </c>
      <c r="V19">
        <f aca="true" t="shared" si="29" ref="V19:V33">VLOOKUP(H19,stiffdata,10,TRUE)</f>
        <v>1.0923764074999998</v>
      </c>
      <c r="W19">
        <f aca="true" t="shared" si="30" ref="W19:W33">VLOOKUP(I19,girdata,6,TRUE)</f>
        <v>5.65965</v>
      </c>
      <c r="X19">
        <f aca="true" t="shared" si="31" ref="X19:X33">VLOOKUP(I19,girdata,7,TRUE)</f>
        <v>9.62950796427341</v>
      </c>
      <c r="Y19">
        <f aca="true" t="shared" si="32" ref="Y19:Y33">VLOOKUP(I19,girdata,9,TRUE)</f>
        <v>125.19530452480353</v>
      </c>
      <c r="Z19">
        <f aca="true" t="shared" si="33" ref="Z19:Z33">VLOOKUP(I19,girdata,10,TRUE)</f>
        <v>4.4734440221875005</v>
      </c>
      <c r="AA19">
        <f t="shared" si="1"/>
        <v>147.04725975</v>
      </c>
      <c r="AB19">
        <f t="shared" si="2"/>
        <v>54.138000000000005</v>
      </c>
      <c r="AC19">
        <f t="shared" si="3"/>
        <v>108.27600000000001</v>
      </c>
      <c r="AD19">
        <f t="shared" si="4"/>
        <v>162.41400000000002</v>
      </c>
      <c r="AE19">
        <f t="shared" si="5"/>
        <v>216.55200000000002</v>
      </c>
      <c r="AF19">
        <f t="shared" si="6"/>
        <v>270.69</v>
      </c>
      <c r="AG19">
        <f t="shared" si="7"/>
        <v>0</v>
      </c>
      <c r="AH19">
        <f t="shared" si="8"/>
        <v>0</v>
      </c>
      <c r="AI19">
        <f t="shared" si="9"/>
        <v>3600</v>
      </c>
      <c r="AJ19">
        <f aca="true" t="shared" si="34" ref="AJ19:AJ33">AA19/L19</f>
        <v>1.856794469667267</v>
      </c>
      <c r="AK19">
        <f aca="true" t="shared" si="35" ref="AK19:AK33">SUM(AB19:AI19)/L19</f>
        <v>55.712069641507604</v>
      </c>
      <c r="AL19">
        <f t="shared" si="10"/>
        <v>1168.7529248614737</v>
      </c>
      <c r="AM19">
        <f t="shared" si="11"/>
        <v>3453.3424834579514</v>
      </c>
      <c r="AN19">
        <f t="shared" si="12"/>
        <v>669.3424309540743</v>
      </c>
      <c r="AO19">
        <f t="shared" si="13"/>
        <v>50.862378450197</v>
      </c>
      <c r="AP19">
        <f t="shared" si="14"/>
        <v>1597.9023259463197</v>
      </c>
      <c r="AQ19">
        <f t="shared" si="15"/>
        <v>5310.462273442442</v>
      </c>
      <c r="AR19">
        <f t="shared" si="16"/>
        <v>0</v>
      </c>
      <c r="AS19">
        <f t="shared" si="17"/>
        <v>0</v>
      </c>
      <c r="AT19">
        <f aca="true" t="shared" si="36" ref="AT19:AT33">Z19+W19*AK19^2</f>
        <v>17571.091525045373</v>
      </c>
      <c r="AU19">
        <f t="shared" si="18"/>
        <v>73103.18080555684</v>
      </c>
      <c r="AV19">
        <f aca="true" t="shared" si="37" ref="AV19:AV33">SUM(AM19:AU19)</f>
        <v>101756.18422285319</v>
      </c>
      <c r="AW19">
        <f t="shared" si="19"/>
        <v>147.04725975</v>
      </c>
      <c r="AX19">
        <f t="shared" si="20"/>
        <v>4581229.397494847</v>
      </c>
      <c r="AY19">
        <f aca="true" t="shared" si="38" ref="AY19:AZ34">AX19/12^4</f>
        <v>220.93120165387958</v>
      </c>
      <c r="AZ19">
        <f aca="true" t="shared" si="39" ref="AZ19:AZ33">M19/12^4</f>
        <v>0.056363470527655946</v>
      </c>
    </row>
    <row r="20" spans="1:52" ht="12.75">
      <c r="A20" s="16">
        <v>3</v>
      </c>
      <c r="B20" s="12">
        <v>240</v>
      </c>
      <c r="C20" s="12">
        <v>0</v>
      </c>
      <c r="D20" s="12">
        <v>360</v>
      </c>
      <c r="E20" s="12">
        <v>120</v>
      </c>
      <c r="F20" s="12">
        <v>5</v>
      </c>
      <c r="G20" s="12">
        <v>0.5</v>
      </c>
      <c r="H20" s="12" t="s">
        <v>55</v>
      </c>
      <c r="I20" s="12" t="s">
        <v>57</v>
      </c>
      <c r="J20" s="12">
        <f aca="true" t="shared" si="40" ref="J20:J33">(AA20/L20)*COS(R20)+SUM(AB20:AI20)/L20*SIN(R20)</f>
        <v>57.7356294023225</v>
      </c>
      <c r="K20" s="12">
        <f>SUM(AB20:AI20)/L20*COS(R20)-(AA20/L20)*SIN(R20)</f>
        <v>55.73695282812533</v>
      </c>
      <c r="L20" s="12">
        <f t="shared" si="0"/>
        <v>104.04696374238571</v>
      </c>
      <c r="M20" s="12">
        <f t="shared" si="21"/>
        <v>132539.641458894</v>
      </c>
      <c r="N20" s="12">
        <f t="shared" si="22"/>
        <v>132539.64145889407</v>
      </c>
      <c r="O20" s="22" t="s">
        <v>63</v>
      </c>
      <c r="P20" s="12">
        <f t="shared" si="23"/>
        <v>353.3261477085182</v>
      </c>
      <c r="Q20" s="17">
        <f t="shared" si="24"/>
        <v>169.7056274847714</v>
      </c>
      <c r="R20">
        <f t="shared" si="25"/>
        <v>0.7853981633974483</v>
      </c>
      <c r="S20">
        <f t="shared" si="26"/>
        <v>2.7069</v>
      </c>
      <c r="T20">
        <f t="shared" si="27"/>
        <v>6.4833630721489515</v>
      </c>
      <c r="U20">
        <f t="shared" si="28"/>
        <v>29.861254334272694</v>
      </c>
      <c r="V20">
        <f t="shared" si="29"/>
        <v>1.0923764074999998</v>
      </c>
      <c r="W20">
        <f t="shared" si="30"/>
        <v>5.65965</v>
      </c>
      <c r="X20">
        <f t="shared" si="31"/>
        <v>9.62950796427341</v>
      </c>
      <c r="Y20">
        <f t="shared" si="32"/>
        <v>125.19530452480353</v>
      </c>
      <c r="Z20">
        <f t="shared" si="33"/>
        <v>4.4734440221875005</v>
      </c>
      <c r="AA20">
        <f t="shared" si="1"/>
        <v>147.04725975</v>
      </c>
      <c r="AB20">
        <f t="shared" si="2"/>
        <v>76.56269383975463</v>
      </c>
      <c r="AC20">
        <f t="shared" si="3"/>
        <v>153.12538767950926</v>
      </c>
      <c r="AD20">
        <f t="shared" si="4"/>
        <v>229.68808151926387</v>
      </c>
      <c r="AE20">
        <f t="shared" si="5"/>
        <v>306.2507753590185</v>
      </c>
      <c r="AF20">
        <f t="shared" si="6"/>
        <v>382.81346919877313</v>
      </c>
      <c r="AG20">
        <f t="shared" si="7"/>
        <v>0</v>
      </c>
      <c r="AH20">
        <f t="shared" si="8"/>
        <v>0</v>
      </c>
      <c r="AI20">
        <f t="shared" si="9"/>
        <v>7200.000000000001</v>
      </c>
      <c r="AJ20">
        <f t="shared" si="34"/>
        <v>1.4132777590135215</v>
      </c>
      <c r="AK20">
        <f t="shared" si="35"/>
        <v>80.2372323738978</v>
      </c>
      <c r="AL20">
        <f t="shared" si="10"/>
        <v>1234.4886087694072</v>
      </c>
      <c r="AM20">
        <f t="shared" si="11"/>
        <v>7307.313695052544</v>
      </c>
      <c r="AN20">
        <f t="shared" si="12"/>
        <v>1517.5163814685748</v>
      </c>
      <c r="AO20">
        <f t="shared" si="13"/>
        <v>58.759067884605365</v>
      </c>
      <c r="AP20">
        <f t="shared" si="14"/>
        <v>2931.0417543006365</v>
      </c>
      <c r="AQ20">
        <f t="shared" si="15"/>
        <v>10134.364440716667</v>
      </c>
      <c r="AR20">
        <f t="shared" si="16"/>
        <v>0</v>
      </c>
      <c r="AS20">
        <f t="shared" si="17"/>
        <v>0</v>
      </c>
      <c r="AT20">
        <f t="shared" si="36"/>
        <v>36441.376317380986</v>
      </c>
      <c r="AU20">
        <f t="shared" si="18"/>
        <v>205454.42265221465</v>
      </c>
      <c r="AV20">
        <f t="shared" si="37"/>
        <v>263844.79430901865</v>
      </c>
      <c r="AW20">
        <f t="shared" si="19"/>
        <v>6007.216939067268</v>
      </c>
      <c r="AX20">
        <f t="shared" si="20"/>
        <v>3678424.2730345787</v>
      </c>
      <c r="AY20">
        <f t="shared" si="38"/>
        <v>177.3931458832262</v>
      </c>
      <c r="AZ20">
        <f t="shared" si="39"/>
        <v>6.39176511665191</v>
      </c>
    </row>
    <row r="21" spans="1:52" ht="12.75">
      <c r="A21" s="16">
        <v>4</v>
      </c>
      <c r="B21" s="12">
        <v>360</v>
      </c>
      <c r="C21" s="12">
        <v>120</v>
      </c>
      <c r="D21" s="12">
        <v>360</v>
      </c>
      <c r="E21" s="12">
        <v>240</v>
      </c>
      <c r="F21" s="12">
        <v>5</v>
      </c>
      <c r="G21" s="12">
        <v>0.5</v>
      </c>
      <c r="H21" s="12" t="s">
        <v>55</v>
      </c>
      <c r="I21" s="12" t="s">
        <v>59</v>
      </c>
      <c r="J21" s="12">
        <f>(AA21/L21)*COS(R21)+SUM(AB21:AI21)/L21*SIN(R21)</f>
        <v>59.999999999999986</v>
      </c>
      <c r="K21" s="12">
        <f>ABS(SUM(AB21:AI21)/L21*COS(R21)-(AA21/L21)*SIN(R21))</f>
        <v>1.2393189931256716</v>
      </c>
      <c r="L21" s="12">
        <f t="shared" si="0"/>
        <v>73.53450000000001</v>
      </c>
      <c r="M21" s="12">
        <f t="shared" si="21"/>
        <v>82833.0618820375</v>
      </c>
      <c r="N21" s="12">
        <f t="shared" si="22"/>
        <v>651.243356246878</v>
      </c>
      <c r="O21" s="22" t="s">
        <v>66</v>
      </c>
      <c r="P21" s="12">
        <f t="shared" si="23"/>
        <v>249.71090625000002</v>
      </c>
      <c r="Q21" s="17">
        <f t="shared" si="24"/>
        <v>120</v>
      </c>
      <c r="R21">
        <f t="shared" si="25"/>
        <v>1.5707963267948966</v>
      </c>
      <c r="S21">
        <f t="shared" si="26"/>
        <v>2.7069</v>
      </c>
      <c r="T21">
        <f t="shared" si="27"/>
        <v>6.4833630721489515</v>
      </c>
      <c r="U21">
        <f t="shared" si="28"/>
        <v>29.861254334272694</v>
      </c>
      <c r="V21">
        <f t="shared" si="29"/>
        <v>1.0923764074999998</v>
      </c>
      <c r="W21">
        <f t="shared" si="30"/>
        <v>0</v>
      </c>
      <c r="X21">
        <f t="shared" si="31"/>
        <v>0</v>
      </c>
      <c r="Y21">
        <f t="shared" si="32"/>
        <v>0</v>
      </c>
      <c r="Z21">
        <f t="shared" si="33"/>
        <v>0</v>
      </c>
      <c r="AA21">
        <f t="shared" si="1"/>
        <v>91.1327025</v>
      </c>
      <c r="AB21">
        <f t="shared" si="2"/>
        <v>54.138000000000005</v>
      </c>
      <c r="AC21">
        <f t="shared" si="3"/>
        <v>108.27600000000001</v>
      </c>
      <c r="AD21">
        <f t="shared" si="4"/>
        <v>162.41400000000002</v>
      </c>
      <c r="AE21">
        <f t="shared" si="5"/>
        <v>216.55200000000002</v>
      </c>
      <c r="AF21">
        <f t="shared" si="6"/>
        <v>270.69</v>
      </c>
      <c r="AG21">
        <f t="shared" si="7"/>
        <v>0</v>
      </c>
      <c r="AH21">
        <f t="shared" si="8"/>
        <v>0</v>
      </c>
      <c r="AI21">
        <f t="shared" si="9"/>
        <v>3600</v>
      </c>
      <c r="AJ21">
        <f t="shared" si="34"/>
        <v>1.2393189931256754</v>
      </c>
      <c r="AK21">
        <f t="shared" si="35"/>
        <v>59.999999999999986</v>
      </c>
      <c r="AL21">
        <f t="shared" si="10"/>
        <v>651.243356246878</v>
      </c>
      <c r="AM21">
        <f t="shared" si="11"/>
        <v>4332.132376407497</v>
      </c>
      <c r="AN21">
        <f t="shared" si="12"/>
        <v>1083.8523764074985</v>
      </c>
      <c r="AO21">
        <f t="shared" si="13"/>
        <v>1.0923764074999998</v>
      </c>
      <c r="AP21">
        <f t="shared" si="14"/>
        <v>1083.8523764075017</v>
      </c>
      <c r="AQ21">
        <f t="shared" si="15"/>
        <v>4332.132376407503</v>
      </c>
      <c r="AR21">
        <f t="shared" si="16"/>
        <v>0</v>
      </c>
      <c r="AS21">
        <f t="shared" si="17"/>
        <v>0</v>
      </c>
      <c r="AT21">
        <f t="shared" si="36"/>
        <v>0</v>
      </c>
      <c r="AU21">
        <f t="shared" si="18"/>
        <v>72000</v>
      </c>
      <c r="AV21">
        <f t="shared" si="37"/>
        <v>82833.0618820375</v>
      </c>
      <c r="AW21">
        <f t="shared" si="19"/>
        <v>13236.210000000001</v>
      </c>
      <c r="AX21">
        <f t="shared" si="20"/>
        <v>368630.28214110737</v>
      </c>
      <c r="AY21">
        <f t="shared" si="38"/>
        <v>17.77730913103334</v>
      </c>
      <c r="AZ21">
        <f t="shared" si="39"/>
        <v>3.9946499750210984</v>
      </c>
    </row>
    <row r="22" spans="1:52" ht="12.75">
      <c r="A22" s="16">
        <v>5</v>
      </c>
      <c r="B22" s="12">
        <v>360</v>
      </c>
      <c r="C22" s="12">
        <v>240</v>
      </c>
      <c r="D22" s="12">
        <v>360</v>
      </c>
      <c r="E22" s="12">
        <v>360</v>
      </c>
      <c r="F22" s="12">
        <v>5</v>
      </c>
      <c r="G22" s="12">
        <v>0.5</v>
      </c>
      <c r="H22" s="12" t="s">
        <v>55</v>
      </c>
      <c r="I22" s="12" t="s">
        <v>59</v>
      </c>
      <c r="J22" s="12">
        <f t="shared" si="40"/>
        <v>59.999999999999986</v>
      </c>
      <c r="K22" s="12">
        <f>ABS(SUM(AB22:AI22)/L22*COS(R22)-(AA22/L22)*SIN(R22))</f>
        <v>1.2393189931256716</v>
      </c>
      <c r="L22" s="12">
        <f t="shared" si="0"/>
        <v>73.53450000000001</v>
      </c>
      <c r="M22" s="12">
        <f t="shared" si="21"/>
        <v>82833.0618820375</v>
      </c>
      <c r="N22" s="12">
        <f t="shared" si="22"/>
        <v>651.243356246878</v>
      </c>
      <c r="O22" s="22" t="s">
        <v>66</v>
      </c>
      <c r="P22" s="12">
        <f t="shared" si="23"/>
        <v>249.71090625000002</v>
      </c>
      <c r="Q22" s="17">
        <f t="shared" si="24"/>
        <v>120</v>
      </c>
      <c r="R22">
        <f t="shared" si="25"/>
        <v>1.5707963267948966</v>
      </c>
      <c r="S22">
        <f t="shared" si="26"/>
        <v>2.7069</v>
      </c>
      <c r="T22">
        <f t="shared" si="27"/>
        <v>6.4833630721489515</v>
      </c>
      <c r="U22">
        <f t="shared" si="28"/>
        <v>29.861254334272694</v>
      </c>
      <c r="V22">
        <f t="shared" si="29"/>
        <v>1.0923764074999998</v>
      </c>
      <c r="W22">
        <f t="shared" si="30"/>
        <v>0</v>
      </c>
      <c r="X22">
        <f t="shared" si="31"/>
        <v>0</v>
      </c>
      <c r="Y22">
        <f t="shared" si="32"/>
        <v>0</v>
      </c>
      <c r="Z22">
        <f t="shared" si="33"/>
        <v>0</v>
      </c>
      <c r="AA22">
        <f t="shared" si="1"/>
        <v>91.1327025</v>
      </c>
      <c r="AB22">
        <f t="shared" si="2"/>
        <v>54.138000000000005</v>
      </c>
      <c r="AC22">
        <f t="shared" si="3"/>
        <v>108.27600000000001</v>
      </c>
      <c r="AD22">
        <f t="shared" si="4"/>
        <v>162.41400000000002</v>
      </c>
      <c r="AE22">
        <f t="shared" si="5"/>
        <v>216.55200000000002</v>
      </c>
      <c r="AF22">
        <f t="shared" si="6"/>
        <v>270.69</v>
      </c>
      <c r="AG22">
        <f t="shared" si="7"/>
        <v>0</v>
      </c>
      <c r="AH22">
        <f t="shared" si="8"/>
        <v>0</v>
      </c>
      <c r="AI22">
        <f t="shared" si="9"/>
        <v>3600</v>
      </c>
      <c r="AJ22">
        <f t="shared" si="34"/>
        <v>1.2393189931256754</v>
      </c>
      <c r="AK22">
        <f t="shared" si="35"/>
        <v>59.999999999999986</v>
      </c>
      <c r="AL22">
        <f t="shared" si="10"/>
        <v>651.243356246878</v>
      </c>
      <c r="AM22">
        <f t="shared" si="11"/>
        <v>4332.132376407497</v>
      </c>
      <c r="AN22">
        <f t="shared" si="12"/>
        <v>1083.8523764074985</v>
      </c>
      <c r="AO22">
        <f t="shared" si="13"/>
        <v>1.0923764074999998</v>
      </c>
      <c r="AP22">
        <f t="shared" si="14"/>
        <v>1083.8523764075017</v>
      </c>
      <c r="AQ22">
        <f t="shared" si="15"/>
        <v>4332.132376407503</v>
      </c>
      <c r="AR22">
        <f t="shared" si="16"/>
        <v>0</v>
      </c>
      <c r="AS22">
        <f t="shared" si="17"/>
        <v>0</v>
      </c>
      <c r="AT22">
        <f t="shared" si="36"/>
        <v>0</v>
      </c>
      <c r="AU22">
        <f t="shared" si="18"/>
        <v>72000</v>
      </c>
      <c r="AV22">
        <f t="shared" si="37"/>
        <v>82833.0618820375</v>
      </c>
      <c r="AW22">
        <f t="shared" si="19"/>
        <v>22060.350000000002</v>
      </c>
      <c r="AX22">
        <f t="shared" si="20"/>
        <v>327291.1765622643</v>
      </c>
      <c r="AY22">
        <f t="shared" si="38"/>
        <v>15.783718005510433</v>
      </c>
      <c r="AZ22">
        <f t="shared" si="39"/>
        <v>3.9946499750210984</v>
      </c>
    </row>
    <row r="23" spans="1:52" ht="12.75">
      <c r="A23" s="16">
        <v>6</v>
      </c>
      <c r="B23" s="12">
        <v>360</v>
      </c>
      <c r="C23" s="12">
        <v>360</v>
      </c>
      <c r="D23" s="12">
        <v>360</v>
      </c>
      <c r="E23" s="12">
        <v>480</v>
      </c>
      <c r="F23" s="12">
        <v>5</v>
      </c>
      <c r="G23" s="12">
        <v>0.5</v>
      </c>
      <c r="H23" s="12" t="s">
        <v>55</v>
      </c>
      <c r="I23" s="12" t="s">
        <v>59</v>
      </c>
      <c r="J23" s="12">
        <f t="shared" si="40"/>
        <v>59.999999999999986</v>
      </c>
      <c r="K23" s="12">
        <f>ABS(SUM(AB23:AI23)/L23*COS(R23)-(AA23/L23)*SIN(R23))</f>
        <v>1.2393189931256716</v>
      </c>
      <c r="L23" s="12">
        <f t="shared" si="0"/>
        <v>73.53450000000001</v>
      </c>
      <c r="M23" s="12">
        <f t="shared" si="21"/>
        <v>82833.0618820375</v>
      </c>
      <c r="N23" s="12">
        <f t="shared" si="22"/>
        <v>651.243356246878</v>
      </c>
      <c r="O23" s="22" t="s">
        <v>66</v>
      </c>
      <c r="P23" s="12">
        <f t="shared" si="23"/>
        <v>249.71090625000002</v>
      </c>
      <c r="Q23" s="17">
        <f t="shared" si="24"/>
        <v>120</v>
      </c>
      <c r="R23">
        <f t="shared" si="25"/>
        <v>1.5707963267948966</v>
      </c>
      <c r="S23">
        <f t="shared" si="26"/>
        <v>2.7069</v>
      </c>
      <c r="T23">
        <f t="shared" si="27"/>
        <v>6.4833630721489515</v>
      </c>
      <c r="U23">
        <f t="shared" si="28"/>
        <v>29.861254334272694</v>
      </c>
      <c r="V23">
        <f t="shared" si="29"/>
        <v>1.0923764074999998</v>
      </c>
      <c r="W23">
        <f t="shared" si="30"/>
        <v>0</v>
      </c>
      <c r="X23">
        <f t="shared" si="31"/>
        <v>0</v>
      </c>
      <c r="Y23">
        <f t="shared" si="32"/>
        <v>0</v>
      </c>
      <c r="Z23">
        <f t="shared" si="33"/>
        <v>0</v>
      </c>
      <c r="AA23">
        <f t="shared" si="1"/>
        <v>91.1327025</v>
      </c>
      <c r="AB23">
        <f t="shared" si="2"/>
        <v>54.138000000000005</v>
      </c>
      <c r="AC23">
        <f t="shared" si="3"/>
        <v>108.27600000000001</v>
      </c>
      <c r="AD23">
        <f t="shared" si="4"/>
        <v>162.41400000000002</v>
      </c>
      <c r="AE23">
        <f t="shared" si="5"/>
        <v>216.55200000000002</v>
      </c>
      <c r="AF23">
        <f t="shared" si="6"/>
        <v>270.69</v>
      </c>
      <c r="AG23">
        <f t="shared" si="7"/>
        <v>0</v>
      </c>
      <c r="AH23">
        <f t="shared" si="8"/>
        <v>0</v>
      </c>
      <c r="AI23">
        <f t="shared" si="9"/>
        <v>3600</v>
      </c>
      <c r="AJ23">
        <f t="shared" si="34"/>
        <v>1.2393189931256754</v>
      </c>
      <c r="AK23">
        <f t="shared" si="35"/>
        <v>59.999999999999986</v>
      </c>
      <c r="AL23">
        <f t="shared" si="10"/>
        <v>651.243356246878</v>
      </c>
      <c r="AM23">
        <f t="shared" si="11"/>
        <v>4332.132376407497</v>
      </c>
      <c r="AN23">
        <f t="shared" si="12"/>
        <v>1083.8523764074985</v>
      </c>
      <c r="AO23">
        <f t="shared" si="13"/>
        <v>1.0923764074999998</v>
      </c>
      <c r="AP23">
        <f t="shared" si="14"/>
        <v>1083.8523764075017</v>
      </c>
      <c r="AQ23">
        <f t="shared" si="15"/>
        <v>4332.132376407503</v>
      </c>
      <c r="AR23">
        <f t="shared" si="16"/>
        <v>0</v>
      </c>
      <c r="AS23">
        <f t="shared" si="17"/>
        <v>0</v>
      </c>
      <c r="AT23">
        <f t="shared" si="36"/>
        <v>0</v>
      </c>
      <c r="AU23">
        <f t="shared" si="18"/>
        <v>72000</v>
      </c>
      <c r="AV23">
        <f t="shared" si="37"/>
        <v>82833.0618820375</v>
      </c>
      <c r="AW23">
        <f t="shared" si="19"/>
        <v>30884.490000000005</v>
      </c>
      <c r="AX23">
        <f t="shared" si="20"/>
        <v>2403745.6709834216</v>
      </c>
      <c r="AY23">
        <f t="shared" si="38"/>
        <v>115.92137687998753</v>
      </c>
      <c r="AZ23">
        <f t="shared" si="39"/>
        <v>3.9946499750210984</v>
      </c>
    </row>
    <row r="24" spans="1:52" ht="12.75">
      <c r="A24" s="16">
        <v>7</v>
      </c>
      <c r="B24" s="12">
        <v>0</v>
      </c>
      <c r="C24" s="12">
        <v>480</v>
      </c>
      <c r="D24" s="12">
        <v>120</v>
      </c>
      <c r="E24" s="12">
        <v>480</v>
      </c>
      <c r="F24" s="12">
        <v>5</v>
      </c>
      <c r="G24" s="12">
        <v>0.5</v>
      </c>
      <c r="H24" s="12" t="s">
        <v>55</v>
      </c>
      <c r="I24" s="12" t="s">
        <v>58</v>
      </c>
      <c r="J24" s="12">
        <f t="shared" si="40"/>
        <v>1.5594975942627658</v>
      </c>
      <c r="K24" s="12">
        <f>SUM(AB24:AI24)/L24*COS(R24)+(AA24/L24)*SIN(R24)</f>
        <v>57.776586121857285</v>
      </c>
      <c r="L24" s="12">
        <f t="shared" si="0"/>
        <v>76.36432500000001</v>
      </c>
      <c r="M24" s="12">
        <f t="shared" si="21"/>
        <v>917.2671153822644</v>
      </c>
      <c r="N24" s="12">
        <f t="shared" si="22"/>
        <v>92643.47873187737</v>
      </c>
      <c r="O24" s="22" t="s">
        <v>64</v>
      </c>
      <c r="P24" s="12">
        <f t="shared" si="23"/>
        <v>259.32052031250004</v>
      </c>
      <c r="Q24" s="17">
        <f t="shared" si="24"/>
        <v>120</v>
      </c>
      <c r="R24">
        <f t="shared" si="25"/>
        <v>0</v>
      </c>
      <c r="S24">
        <f t="shared" si="26"/>
        <v>2.7069</v>
      </c>
      <c r="T24">
        <f t="shared" si="27"/>
        <v>6.4833630721489515</v>
      </c>
      <c r="U24">
        <f t="shared" si="28"/>
        <v>29.861254334272694</v>
      </c>
      <c r="V24">
        <f t="shared" si="29"/>
        <v>1.0923764074999998</v>
      </c>
      <c r="W24">
        <f t="shared" si="30"/>
        <v>2.829825</v>
      </c>
      <c r="X24">
        <f t="shared" si="31"/>
        <v>9.62950796427341</v>
      </c>
      <c r="Y24">
        <f t="shared" si="32"/>
        <v>62.597652262401766</v>
      </c>
      <c r="Z24">
        <f t="shared" si="33"/>
        <v>0.5591805027734376</v>
      </c>
      <c r="AA24">
        <f t="shared" si="1"/>
        <v>119.089981125</v>
      </c>
      <c r="AB24">
        <f t="shared" si="2"/>
        <v>54.138000000000005</v>
      </c>
      <c r="AC24">
        <f t="shared" si="3"/>
        <v>108.27600000000001</v>
      </c>
      <c r="AD24">
        <f t="shared" si="4"/>
        <v>162.41400000000002</v>
      </c>
      <c r="AE24">
        <f t="shared" si="5"/>
        <v>216.55200000000002</v>
      </c>
      <c r="AF24">
        <f t="shared" si="6"/>
        <v>270.69</v>
      </c>
      <c r="AG24">
        <f t="shared" si="7"/>
        <v>0</v>
      </c>
      <c r="AH24">
        <f t="shared" si="8"/>
        <v>0</v>
      </c>
      <c r="AI24">
        <f t="shared" si="9"/>
        <v>3600</v>
      </c>
      <c r="AJ24">
        <f t="shared" si="34"/>
        <v>1.5594975942627658</v>
      </c>
      <c r="AK24">
        <f t="shared" si="35"/>
        <v>57.776586121857285</v>
      </c>
      <c r="AL24">
        <f t="shared" si="10"/>
        <v>917.2671153822644</v>
      </c>
      <c r="AM24">
        <f t="shared" si="11"/>
        <v>3864.029401934424</v>
      </c>
      <c r="AN24">
        <f t="shared" si="12"/>
        <v>856.4917630042044</v>
      </c>
      <c r="AO24">
        <f t="shared" si="13"/>
        <v>14.474124073984866</v>
      </c>
      <c r="AP24">
        <f t="shared" si="14"/>
        <v>1337.9764851437656</v>
      </c>
      <c r="AQ24">
        <f t="shared" si="15"/>
        <v>4826.998846213546</v>
      </c>
      <c r="AR24">
        <f t="shared" si="16"/>
        <v>0</v>
      </c>
      <c r="AS24">
        <f t="shared" si="17"/>
        <v>0</v>
      </c>
      <c r="AT24">
        <f t="shared" si="36"/>
        <v>9446.893955096382</v>
      </c>
      <c r="AU24">
        <f t="shared" si="18"/>
        <v>72296.61415641106</v>
      </c>
      <c r="AV24">
        <f t="shared" si="37"/>
        <v>92643.47873187737</v>
      </c>
      <c r="AW24">
        <f t="shared" si="19"/>
        <v>36535.786018875006</v>
      </c>
      <c r="AX24">
        <f t="shared" si="20"/>
        <v>4257641.907304908</v>
      </c>
      <c r="AY24">
        <f t="shared" si="38"/>
        <v>205.32609506678762</v>
      </c>
      <c r="AZ24">
        <f t="shared" si="39"/>
        <v>0.044235489746444076</v>
      </c>
    </row>
    <row r="25" spans="1:52" ht="12.75">
      <c r="A25" s="16">
        <v>8</v>
      </c>
      <c r="B25" s="12">
        <v>120</v>
      </c>
      <c r="C25" s="12">
        <v>480</v>
      </c>
      <c r="D25" s="12">
        <v>240</v>
      </c>
      <c r="E25" s="12">
        <v>480</v>
      </c>
      <c r="F25" s="12">
        <v>5</v>
      </c>
      <c r="G25" s="12">
        <v>0.5</v>
      </c>
      <c r="H25" s="12" t="s">
        <v>55</v>
      </c>
      <c r="I25" s="12" t="s">
        <v>57</v>
      </c>
      <c r="J25" s="12">
        <f t="shared" si="40"/>
        <v>1.856794469667267</v>
      </c>
      <c r="K25" s="12">
        <f aca="true" t="shared" si="41" ref="K25:K33">SUM(AB25:AI25)/L25*COS(R25)+(AA25/L25)*SIN(R25)</f>
        <v>55.712069641507604</v>
      </c>
      <c r="L25" s="12">
        <f t="shared" si="0"/>
        <v>79.19415000000001</v>
      </c>
      <c r="M25" s="12">
        <f t="shared" si="21"/>
        <v>1168.7529248614737</v>
      </c>
      <c r="N25" s="12">
        <f t="shared" si="22"/>
        <v>101756.18422285319</v>
      </c>
      <c r="O25" s="22" t="s">
        <v>64</v>
      </c>
      <c r="P25" s="12">
        <f t="shared" si="23"/>
        <v>268.930134375</v>
      </c>
      <c r="Q25" s="17">
        <f t="shared" si="24"/>
        <v>120</v>
      </c>
      <c r="R25">
        <f t="shared" si="25"/>
        <v>0</v>
      </c>
      <c r="S25">
        <f t="shared" si="26"/>
        <v>2.7069</v>
      </c>
      <c r="T25">
        <f t="shared" si="27"/>
        <v>6.4833630721489515</v>
      </c>
      <c r="U25">
        <f t="shared" si="28"/>
        <v>29.861254334272694</v>
      </c>
      <c r="V25">
        <f t="shared" si="29"/>
        <v>1.0923764074999998</v>
      </c>
      <c r="W25">
        <f t="shared" si="30"/>
        <v>5.65965</v>
      </c>
      <c r="X25">
        <f t="shared" si="31"/>
        <v>9.62950796427341</v>
      </c>
      <c r="Y25">
        <f t="shared" si="32"/>
        <v>125.19530452480353</v>
      </c>
      <c r="Z25">
        <f t="shared" si="33"/>
        <v>4.4734440221875005</v>
      </c>
      <c r="AA25">
        <f t="shared" si="1"/>
        <v>147.04725975</v>
      </c>
      <c r="AB25">
        <f t="shared" si="2"/>
        <v>54.138000000000005</v>
      </c>
      <c r="AC25">
        <f t="shared" si="3"/>
        <v>108.27600000000001</v>
      </c>
      <c r="AD25">
        <f t="shared" si="4"/>
        <v>162.41400000000002</v>
      </c>
      <c r="AE25">
        <f t="shared" si="5"/>
        <v>216.55200000000002</v>
      </c>
      <c r="AF25">
        <f t="shared" si="6"/>
        <v>270.69</v>
      </c>
      <c r="AG25">
        <f t="shared" si="7"/>
        <v>0</v>
      </c>
      <c r="AH25">
        <f t="shared" si="8"/>
        <v>0</v>
      </c>
      <c r="AI25">
        <f t="shared" si="9"/>
        <v>3600</v>
      </c>
      <c r="AJ25">
        <f t="shared" si="34"/>
        <v>1.856794469667267</v>
      </c>
      <c r="AK25">
        <f t="shared" si="35"/>
        <v>55.712069641507604</v>
      </c>
      <c r="AL25">
        <f t="shared" si="10"/>
        <v>1168.7529248614737</v>
      </c>
      <c r="AM25">
        <f t="shared" si="11"/>
        <v>3453.3424834579514</v>
      </c>
      <c r="AN25">
        <f t="shared" si="12"/>
        <v>669.3424309540743</v>
      </c>
      <c r="AO25">
        <f t="shared" si="13"/>
        <v>50.862378450197</v>
      </c>
      <c r="AP25">
        <f t="shared" si="14"/>
        <v>1597.9023259463197</v>
      </c>
      <c r="AQ25">
        <f t="shared" si="15"/>
        <v>5310.462273442442</v>
      </c>
      <c r="AR25">
        <f t="shared" si="16"/>
        <v>0</v>
      </c>
      <c r="AS25">
        <f t="shared" si="17"/>
        <v>0</v>
      </c>
      <c r="AT25">
        <f t="shared" si="36"/>
        <v>17571.091525045373</v>
      </c>
      <c r="AU25">
        <f t="shared" si="18"/>
        <v>73103.18080555684</v>
      </c>
      <c r="AV25">
        <f t="shared" si="37"/>
        <v>101756.18422285319</v>
      </c>
      <c r="AW25">
        <f t="shared" si="19"/>
        <v>37866.144740250005</v>
      </c>
      <c r="AX25">
        <f t="shared" si="20"/>
        <v>4404523.933496649</v>
      </c>
      <c r="AY25">
        <f t="shared" si="38"/>
        <v>212.40952611384304</v>
      </c>
      <c r="AZ25">
        <f t="shared" si="39"/>
        <v>0.056363470527655946</v>
      </c>
    </row>
    <row r="26" spans="1:52" ht="12.75">
      <c r="A26" s="16">
        <v>9</v>
      </c>
      <c r="B26" s="12">
        <v>240</v>
      </c>
      <c r="C26" s="12">
        <v>480</v>
      </c>
      <c r="D26" s="12">
        <v>360</v>
      </c>
      <c r="E26" s="12">
        <v>480</v>
      </c>
      <c r="F26" s="12">
        <v>5</v>
      </c>
      <c r="G26" s="12">
        <v>0.5</v>
      </c>
      <c r="H26" s="12" t="s">
        <v>55</v>
      </c>
      <c r="I26" s="12" t="s">
        <v>57</v>
      </c>
      <c r="J26" s="12">
        <f t="shared" si="40"/>
        <v>1.856794469667267</v>
      </c>
      <c r="K26" s="12">
        <f t="shared" si="41"/>
        <v>55.712069641507604</v>
      </c>
      <c r="L26" s="12">
        <f t="shared" si="0"/>
        <v>79.19415000000001</v>
      </c>
      <c r="M26" s="12">
        <f t="shared" si="21"/>
        <v>1168.7529248614737</v>
      </c>
      <c r="N26" s="12">
        <f t="shared" si="22"/>
        <v>101756.18422285319</v>
      </c>
      <c r="O26" s="22" t="s">
        <v>64</v>
      </c>
      <c r="P26" s="12">
        <f t="shared" si="23"/>
        <v>268.930134375</v>
      </c>
      <c r="Q26" s="17">
        <f t="shared" si="24"/>
        <v>120</v>
      </c>
      <c r="R26">
        <f t="shared" si="25"/>
        <v>0</v>
      </c>
      <c r="S26">
        <f t="shared" si="26"/>
        <v>2.7069</v>
      </c>
      <c r="T26">
        <f t="shared" si="27"/>
        <v>6.4833630721489515</v>
      </c>
      <c r="U26">
        <f t="shared" si="28"/>
        <v>29.861254334272694</v>
      </c>
      <c r="V26">
        <f t="shared" si="29"/>
        <v>1.0923764074999998</v>
      </c>
      <c r="W26">
        <f t="shared" si="30"/>
        <v>5.65965</v>
      </c>
      <c r="X26">
        <f t="shared" si="31"/>
        <v>9.62950796427341</v>
      </c>
      <c r="Y26">
        <f t="shared" si="32"/>
        <v>125.19530452480353</v>
      </c>
      <c r="Z26">
        <f t="shared" si="33"/>
        <v>4.4734440221875005</v>
      </c>
      <c r="AA26">
        <f t="shared" si="1"/>
        <v>147.04725975</v>
      </c>
      <c r="AB26">
        <f t="shared" si="2"/>
        <v>54.138000000000005</v>
      </c>
      <c r="AC26">
        <f t="shared" si="3"/>
        <v>108.27600000000001</v>
      </c>
      <c r="AD26">
        <f t="shared" si="4"/>
        <v>162.41400000000002</v>
      </c>
      <c r="AE26">
        <f t="shared" si="5"/>
        <v>216.55200000000002</v>
      </c>
      <c r="AF26">
        <f t="shared" si="6"/>
        <v>270.69</v>
      </c>
      <c r="AG26">
        <f t="shared" si="7"/>
        <v>0</v>
      </c>
      <c r="AH26">
        <f t="shared" si="8"/>
        <v>0</v>
      </c>
      <c r="AI26">
        <f t="shared" si="9"/>
        <v>3600</v>
      </c>
      <c r="AJ26">
        <f t="shared" si="34"/>
        <v>1.856794469667267</v>
      </c>
      <c r="AK26">
        <f t="shared" si="35"/>
        <v>55.712069641507604</v>
      </c>
      <c r="AL26">
        <f t="shared" si="10"/>
        <v>1168.7529248614737</v>
      </c>
      <c r="AM26">
        <f t="shared" si="11"/>
        <v>3453.3424834579514</v>
      </c>
      <c r="AN26">
        <f t="shared" si="12"/>
        <v>669.3424309540743</v>
      </c>
      <c r="AO26">
        <f t="shared" si="13"/>
        <v>50.862378450197</v>
      </c>
      <c r="AP26">
        <f t="shared" si="14"/>
        <v>1597.9023259463197</v>
      </c>
      <c r="AQ26">
        <f t="shared" si="15"/>
        <v>5310.462273442442</v>
      </c>
      <c r="AR26">
        <f t="shared" si="16"/>
        <v>0</v>
      </c>
      <c r="AS26">
        <f t="shared" si="17"/>
        <v>0</v>
      </c>
      <c r="AT26">
        <f t="shared" si="36"/>
        <v>17571.091525045373</v>
      </c>
      <c r="AU26">
        <f t="shared" si="18"/>
        <v>73103.18080555684</v>
      </c>
      <c r="AV26">
        <f t="shared" si="37"/>
        <v>101756.18422285319</v>
      </c>
      <c r="AW26">
        <f t="shared" si="19"/>
        <v>37866.144740250005</v>
      </c>
      <c r="AX26">
        <f t="shared" si="20"/>
        <v>4404523.933496649</v>
      </c>
      <c r="AY26">
        <f t="shared" si="38"/>
        <v>212.40952611384304</v>
      </c>
      <c r="AZ26">
        <f t="shared" si="39"/>
        <v>0.056363470527655946</v>
      </c>
    </row>
    <row r="27" spans="1:52" ht="12.75">
      <c r="A27" s="16">
        <v>10</v>
      </c>
      <c r="B27" s="12">
        <v>120</v>
      </c>
      <c r="C27" s="12">
        <v>360</v>
      </c>
      <c r="D27" s="12">
        <v>240</v>
      </c>
      <c r="E27" s="12">
        <v>360</v>
      </c>
      <c r="F27" s="12">
        <v>5</v>
      </c>
      <c r="G27" s="12">
        <v>0.5</v>
      </c>
      <c r="H27" s="12" t="s">
        <v>55</v>
      </c>
      <c r="I27" s="12" t="s">
        <v>57</v>
      </c>
      <c r="J27" s="12">
        <f t="shared" si="40"/>
        <v>1.856794469667267</v>
      </c>
      <c r="K27" s="12">
        <f t="shared" si="41"/>
        <v>55.712069641507604</v>
      </c>
      <c r="L27" s="12">
        <f t="shared" si="0"/>
        <v>79.19415000000001</v>
      </c>
      <c r="M27" s="12">
        <f t="shared" si="21"/>
        <v>1168.7529248614737</v>
      </c>
      <c r="N27" s="12">
        <f t="shared" si="22"/>
        <v>101756.18422285319</v>
      </c>
      <c r="O27" s="22" t="s">
        <v>64</v>
      </c>
      <c r="P27" s="12">
        <f t="shared" si="23"/>
        <v>268.930134375</v>
      </c>
      <c r="Q27" s="17">
        <f t="shared" si="24"/>
        <v>120</v>
      </c>
      <c r="R27">
        <f t="shared" si="25"/>
        <v>0</v>
      </c>
      <c r="S27">
        <f t="shared" si="26"/>
        <v>2.7069</v>
      </c>
      <c r="T27">
        <f t="shared" si="27"/>
        <v>6.4833630721489515</v>
      </c>
      <c r="U27">
        <f t="shared" si="28"/>
        <v>29.861254334272694</v>
      </c>
      <c r="V27">
        <f t="shared" si="29"/>
        <v>1.0923764074999998</v>
      </c>
      <c r="W27">
        <f t="shared" si="30"/>
        <v>5.65965</v>
      </c>
      <c r="X27">
        <f t="shared" si="31"/>
        <v>9.62950796427341</v>
      </c>
      <c r="Y27">
        <f t="shared" si="32"/>
        <v>125.19530452480353</v>
      </c>
      <c r="Z27">
        <f t="shared" si="33"/>
        <v>4.4734440221875005</v>
      </c>
      <c r="AA27">
        <f t="shared" si="1"/>
        <v>147.04725975</v>
      </c>
      <c r="AB27">
        <f t="shared" si="2"/>
        <v>54.138000000000005</v>
      </c>
      <c r="AC27">
        <f t="shared" si="3"/>
        <v>108.27600000000001</v>
      </c>
      <c r="AD27">
        <f t="shared" si="4"/>
        <v>162.41400000000002</v>
      </c>
      <c r="AE27">
        <f t="shared" si="5"/>
        <v>216.55200000000002</v>
      </c>
      <c r="AF27">
        <f t="shared" si="6"/>
        <v>270.69</v>
      </c>
      <c r="AG27">
        <f t="shared" si="7"/>
        <v>0</v>
      </c>
      <c r="AH27">
        <f t="shared" si="8"/>
        <v>0</v>
      </c>
      <c r="AI27">
        <f t="shared" si="9"/>
        <v>3600</v>
      </c>
      <c r="AJ27">
        <f t="shared" si="34"/>
        <v>1.856794469667267</v>
      </c>
      <c r="AK27">
        <f t="shared" si="35"/>
        <v>55.712069641507604</v>
      </c>
      <c r="AL27">
        <f t="shared" si="10"/>
        <v>1168.7529248614737</v>
      </c>
      <c r="AM27">
        <f t="shared" si="11"/>
        <v>3453.3424834579514</v>
      </c>
      <c r="AN27">
        <f t="shared" si="12"/>
        <v>669.3424309540743</v>
      </c>
      <c r="AO27">
        <f t="shared" si="13"/>
        <v>50.862378450197</v>
      </c>
      <c r="AP27">
        <f t="shared" si="14"/>
        <v>1597.9023259463197</v>
      </c>
      <c r="AQ27">
        <f t="shared" si="15"/>
        <v>5310.462273442442</v>
      </c>
      <c r="AR27">
        <f t="shared" si="16"/>
        <v>0</v>
      </c>
      <c r="AS27">
        <f t="shared" si="17"/>
        <v>0</v>
      </c>
      <c r="AT27">
        <f t="shared" si="36"/>
        <v>17571.091525045373</v>
      </c>
      <c r="AU27">
        <f t="shared" si="18"/>
        <v>73103.18080555684</v>
      </c>
      <c r="AV27">
        <f t="shared" si="37"/>
        <v>101756.18422285319</v>
      </c>
      <c r="AW27">
        <f t="shared" si="19"/>
        <v>28362.846740250003</v>
      </c>
      <c r="AX27">
        <f t="shared" si="20"/>
        <v>1063148.8034586047</v>
      </c>
      <c r="AY27">
        <f t="shared" si="38"/>
        <v>51.27067917913796</v>
      </c>
      <c r="AZ27">
        <f t="shared" si="39"/>
        <v>0.056363470527655946</v>
      </c>
    </row>
    <row r="28" spans="1:52" ht="12.75">
      <c r="A28" s="16">
        <v>11</v>
      </c>
      <c r="B28" s="12">
        <v>240</v>
      </c>
      <c r="C28" s="12">
        <v>360</v>
      </c>
      <c r="D28" s="12">
        <v>360</v>
      </c>
      <c r="E28" s="12">
        <v>360</v>
      </c>
      <c r="F28" s="12">
        <v>5</v>
      </c>
      <c r="G28" s="12">
        <v>0.5</v>
      </c>
      <c r="H28" s="12" t="s">
        <v>55</v>
      </c>
      <c r="I28" s="12" t="s">
        <v>57</v>
      </c>
      <c r="J28" s="12">
        <f t="shared" si="40"/>
        <v>1.856794469667267</v>
      </c>
      <c r="K28" s="12">
        <f t="shared" si="41"/>
        <v>55.712069641507604</v>
      </c>
      <c r="L28" s="12">
        <f t="shared" si="0"/>
        <v>79.19415000000001</v>
      </c>
      <c r="M28" s="12">
        <f t="shared" si="21"/>
        <v>1168.7529248614737</v>
      </c>
      <c r="N28" s="12">
        <f t="shared" si="22"/>
        <v>101756.18422285319</v>
      </c>
      <c r="O28" s="22" t="s">
        <v>64</v>
      </c>
      <c r="P28" s="12">
        <f t="shared" si="23"/>
        <v>268.930134375</v>
      </c>
      <c r="Q28" s="17">
        <f t="shared" si="24"/>
        <v>120</v>
      </c>
      <c r="R28">
        <f t="shared" si="25"/>
        <v>0</v>
      </c>
      <c r="S28">
        <f t="shared" si="26"/>
        <v>2.7069</v>
      </c>
      <c r="T28">
        <f t="shared" si="27"/>
        <v>6.4833630721489515</v>
      </c>
      <c r="U28">
        <f t="shared" si="28"/>
        <v>29.861254334272694</v>
      </c>
      <c r="V28">
        <f t="shared" si="29"/>
        <v>1.0923764074999998</v>
      </c>
      <c r="W28">
        <f t="shared" si="30"/>
        <v>5.65965</v>
      </c>
      <c r="X28">
        <f t="shared" si="31"/>
        <v>9.62950796427341</v>
      </c>
      <c r="Y28">
        <f t="shared" si="32"/>
        <v>125.19530452480353</v>
      </c>
      <c r="Z28">
        <f t="shared" si="33"/>
        <v>4.4734440221875005</v>
      </c>
      <c r="AA28">
        <f t="shared" si="1"/>
        <v>147.04725975</v>
      </c>
      <c r="AB28">
        <f t="shared" si="2"/>
        <v>54.138000000000005</v>
      </c>
      <c r="AC28">
        <f t="shared" si="3"/>
        <v>108.27600000000001</v>
      </c>
      <c r="AD28">
        <f t="shared" si="4"/>
        <v>162.41400000000002</v>
      </c>
      <c r="AE28">
        <f t="shared" si="5"/>
        <v>216.55200000000002</v>
      </c>
      <c r="AF28">
        <f t="shared" si="6"/>
        <v>270.69</v>
      </c>
      <c r="AG28">
        <f t="shared" si="7"/>
        <v>0</v>
      </c>
      <c r="AH28">
        <f t="shared" si="8"/>
        <v>0</v>
      </c>
      <c r="AI28">
        <f t="shared" si="9"/>
        <v>3600</v>
      </c>
      <c r="AJ28">
        <f t="shared" si="34"/>
        <v>1.856794469667267</v>
      </c>
      <c r="AK28">
        <f t="shared" si="35"/>
        <v>55.712069641507604</v>
      </c>
      <c r="AL28">
        <f t="shared" si="10"/>
        <v>1168.7529248614737</v>
      </c>
      <c r="AM28">
        <f t="shared" si="11"/>
        <v>3453.3424834579514</v>
      </c>
      <c r="AN28">
        <f t="shared" si="12"/>
        <v>669.3424309540743</v>
      </c>
      <c r="AO28">
        <f t="shared" si="13"/>
        <v>50.862378450197</v>
      </c>
      <c r="AP28">
        <f t="shared" si="14"/>
        <v>1597.9023259463197</v>
      </c>
      <c r="AQ28">
        <f t="shared" si="15"/>
        <v>5310.462273442442</v>
      </c>
      <c r="AR28">
        <f t="shared" si="16"/>
        <v>0</v>
      </c>
      <c r="AS28">
        <f t="shared" si="17"/>
        <v>0</v>
      </c>
      <c r="AT28">
        <f t="shared" si="36"/>
        <v>17571.091525045373</v>
      </c>
      <c r="AU28">
        <f t="shared" si="18"/>
        <v>73103.18080555684</v>
      </c>
      <c r="AV28">
        <f t="shared" si="37"/>
        <v>101756.18422285319</v>
      </c>
      <c r="AW28">
        <f t="shared" si="19"/>
        <v>28362.846740250003</v>
      </c>
      <c r="AX28">
        <f t="shared" si="20"/>
        <v>1063148.8034586047</v>
      </c>
      <c r="AY28">
        <f t="shared" si="38"/>
        <v>51.27067917913796</v>
      </c>
      <c r="AZ28">
        <f t="shared" si="39"/>
        <v>0.056363470527655946</v>
      </c>
    </row>
    <row r="29" spans="1:52" ht="12.75">
      <c r="A29" s="16">
        <v>12</v>
      </c>
      <c r="B29" s="12">
        <v>120</v>
      </c>
      <c r="C29" s="12">
        <v>240</v>
      </c>
      <c r="D29" s="12">
        <v>240</v>
      </c>
      <c r="E29" s="12">
        <v>240</v>
      </c>
      <c r="F29" s="12">
        <v>5</v>
      </c>
      <c r="G29" s="12">
        <v>0.5</v>
      </c>
      <c r="H29" s="12" t="s">
        <v>55</v>
      </c>
      <c r="I29" s="12" t="s">
        <v>57</v>
      </c>
      <c r="J29" s="12">
        <f t="shared" si="40"/>
        <v>1.856794469667267</v>
      </c>
      <c r="K29" s="12">
        <f t="shared" si="41"/>
        <v>55.712069641507604</v>
      </c>
      <c r="L29" s="12">
        <f t="shared" si="0"/>
        <v>79.19415000000001</v>
      </c>
      <c r="M29" s="12">
        <f t="shared" si="21"/>
        <v>1168.7529248614737</v>
      </c>
      <c r="N29" s="12">
        <f t="shared" si="22"/>
        <v>101756.18422285319</v>
      </c>
      <c r="O29" s="22" t="s">
        <v>64</v>
      </c>
      <c r="P29" s="12">
        <f t="shared" si="23"/>
        <v>268.930134375</v>
      </c>
      <c r="Q29" s="17">
        <f t="shared" si="24"/>
        <v>120</v>
      </c>
      <c r="R29">
        <f t="shared" si="25"/>
        <v>0</v>
      </c>
      <c r="S29">
        <f t="shared" si="26"/>
        <v>2.7069</v>
      </c>
      <c r="T29">
        <f t="shared" si="27"/>
        <v>6.4833630721489515</v>
      </c>
      <c r="U29">
        <f t="shared" si="28"/>
        <v>29.861254334272694</v>
      </c>
      <c r="V29">
        <f t="shared" si="29"/>
        <v>1.0923764074999998</v>
      </c>
      <c r="W29">
        <f t="shared" si="30"/>
        <v>5.65965</v>
      </c>
      <c r="X29">
        <f t="shared" si="31"/>
        <v>9.62950796427341</v>
      </c>
      <c r="Y29">
        <f t="shared" si="32"/>
        <v>125.19530452480353</v>
      </c>
      <c r="Z29">
        <f t="shared" si="33"/>
        <v>4.4734440221875005</v>
      </c>
      <c r="AA29">
        <f t="shared" si="1"/>
        <v>147.04725975</v>
      </c>
      <c r="AB29">
        <f t="shared" si="2"/>
        <v>54.138000000000005</v>
      </c>
      <c r="AC29">
        <f t="shared" si="3"/>
        <v>108.27600000000001</v>
      </c>
      <c r="AD29">
        <f t="shared" si="4"/>
        <v>162.41400000000002</v>
      </c>
      <c r="AE29">
        <f t="shared" si="5"/>
        <v>216.55200000000002</v>
      </c>
      <c r="AF29">
        <f t="shared" si="6"/>
        <v>270.69</v>
      </c>
      <c r="AG29">
        <f t="shared" si="7"/>
        <v>0</v>
      </c>
      <c r="AH29">
        <f t="shared" si="8"/>
        <v>0</v>
      </c>
      <c r="AI29">
        <f t="shared" si="9"/>
        <v>3600</v>
      </c>
      <c r="AJ29">
        <f t="shared" si="34"/>
        <v>1.856794469667267</v>
      </c>
      <c r="AK29">
        <f t="shared" si="35"/>
        <v>55.712069641507604</v>
      </c>
      <c r="AL29">
        <f t="shared" si="10"/>
        <v>1168.7529248614737</v>
      </c>
      <c r="AM29">
        <f t="shared" si="11"/>
        <v>3453.3424834579514</v>
      </c>
      <c r="AN29">
        <f t="shared" si="12"/>
        <v>669.3424309540743</v>
      </c>
      <c r="AO29">
        <f t="shared" si="13"/>
        <v>50.862378450197</v>
      </c>
      <c r="AP29">
        <f t="shared" si="14"/>
        <v>1597.9023259463197</v>
      </c>
      <c r="AQ29">
        <f t="shared" si="15"/>
        <v>5310.462273442442</v>
      </c>
      <c r="AR29">
        <f t="shared" si="16"/>
        <v>0</v>
      </c>
      <c r="AS29">
        <f t="shared" si="17"/>
        <v>0</v>
      </c>
      <c r="AT29">
        <f t="shared" si="36"/>
        <v>17571.091525045373</v>
      </c>
      <c r="AU29">
        <f t="shared" si="18"/>
        <v>73103.18080555684</v>
      </c>
      <c r="AV29">
        <f t="shared" si="37"/>
        <v>101756.18422285319</v>
      </c>
      <c r="AW29">
        <f t="shared" si="19"/>
        <v>18859.54874025</v>
      </c>
      <c r="AX29">
        <f t="shared" si="20"/>
        <v>2565.193420560486</v>
      </c>
      <c r="AY29">
        <f t="shared" si="38"/>
        <v>0.12370724443289381</v>
      </c>
      <c r="AZ29">
        <f t="shared" si="39"/>
        <v>0.056363470527655946</v>
      </c>
    </row>
    <row r="30" spans="1:52" ht="12.75">
      <c r="A30" s="16">
        <v>13</v>
      </c>
      <c r="B30" s="12">
        <v>240</v>
      </c>
      <c r="C30" s="12">
        <v>240</v>
      </c>
      <c r="D30" s="12">
        <v>360</v>
      </c>
      <c r="E30" s="12">
        <v>240</v>
      </c>
      <c r="F30" s="12">
        <v>5</v>
      </c>
      <c r="G30" s="12">
        <v>0.5</v>
      </c>
      <c r="H30" s="12" t="s">
        <v>55</v>
      </c>
      <c r="I30" s="12" t="s">
        <v>57</v>
      </c>
      <c r="J30" s="12">
        <f t="shared" si="40"/>
        <v>1.856794469667267</v>
      </c>
      <c r="K30" s="12">
        <f t="shared" si="41"/>
        <v>55.712069641507604</v>
      </c>
      <c r="L30" s="12">
        <f t="shared" si="0"/>
        <v>79.19415000000001</v>
      </c>
      <c r="M30" s="12">
        <f t="shared" si="21"/>
        <v>1168.7529248614737</v>
      </c>
      <c r="N30" s="12">
        <f t="shared" si="22"/>
        <v>101756.18422285319</v>
      </c>
      <c r="O30" s="22" t="s">
        <v>64</v>
      </c>
      <c r="P30" s="12">
        <f t="shared" si="23"/>
        <v>268.930134375</v>
      </c>
      <c r="Q30" s="17">
        <f t="shared" si="24"/>
        <v>120</v>
      </c>
      <c r="R30">
        <f t="shared" si="25"/>
        <v>0</v>
      </c>
      <c r="S30">
        <f t="shared" si="26"/>
        <v>2.7069</v>
      </c>
      <c r="T30">
        <f t="shared" si="27"/>
        <v>6.4833630721489515</v>
      </c>
      <c r="U30">
        <f t="shared" si="28"/>
        <v>29.861254334272694</v>
      </c>
      <c r="V30">
        <f t="shared" si="29"/>
        <v>1.0923764074999998</v>
      </c>
      <c r="W30">
        <f t="shared" si="30"/>
        <v>5.65965</v>
      </c>
      <c r="X30">
        <f t="shared" si="31"/>
        <v>9.62950796427341</v>
      </c>
      <c r="Y30">
        <f t="shared" si="32"/>
        <v>125.19530452480353</v>
      </c>
      <c r="Z30">
        <f t="shared" si="33"/>
        <v>4.4734440221875005</v>
      </c>
      <c r="AA30">
        <f t="shared" si="1"/>
        <v>147.04725975</v>
      </c>
      <c r="AB30">
        <f t="shared" si="2"/>
        <v>54.138000000000005</v>
      </c>
      <c r="AC30">
        <f t="shared" si="3"/>
        <v>108.27600000000001</v>
      </c>
      <c r="AD30">
        <f t="shared" si="4"/>
        <v>162.41400000000002</v>
      </c>
      <c r="AE30">
        <f t="shared" si="5"/>
        <v>216.55200000000002</v>
      </c>
      <c r="AF30">
        <f t="shared" si="6"/>
        <v>270.69</v>
      </c>
      <c r="AG30">
        <f t="shared" si="7"/>
        <v>0</v>
      </c>
      <c r="AH30">
        <f t="shared" si="8"/>
        <v>0</v>
      </c>
      <c r="AI30">
        <f t="shared" si="9"/>
        <v>3600</v>
      </c>
      <c r="AJ30">
        <f t="shared" si="34"/>
        <v>1.856794469667267</v>
      </c>
      <c r="AK30">
        <f t="shared" si="35"/>
        <v>55.712069641507604</v>
      </c>
      <c r="AL30">
        <f t="shared" si="10"/>
        <v>1168.7529248614737</v>
      </c>
      <c r="AM30">
        <f t="shared" si="11"/>
        <v>3453.3424834579514</v>
      </c>
      <c r="AN30">
        <f t="shared" si="12"/>
        <v>669.3424309540743</v>
      </c>
      <c r="AO30">
        <f t="shared" si="13"/>
        <v>50.862378450197</v>
      </c>
      <c r="AP30">
        <f t="shared" si="14"/>
        <v>1597.9023259463197</v>
      </c>
      <c r="AQ30">
        <f t="shared" si="15"/>
        <v>5310.462273442442</v>
      </c>
      <c r="AR30">
        <f t="shared" si="16"/>
        <v>0</v>
      </c>
      <c r="AS30">
        <f t="shared" si="17"/>
        <v>0</v>
      </c>
      <c r="AT30">
        <f t="shared" si="36"/>
        <v>17571.091525045373</v>
      </c>
      <c r="AU30">
        <f t="shared" si="18"/>
        <v>73103.18080555684</v>
      </c>
      <c r="AV30">
        <f t="shared" si="37"/>
        <v>101756.18422285319</v>
      </c>
      <c r="AW30">
        <f t="shared" si="19"/>
        <v>18859.54874025</v>
      </c>
      <c r="AX30">
        <f t="shared" si="20"/>
        <v>2565.193420560486</v>
      </c>
      <c r="AY30">
        <f t="shared" si="38"/>
        <v>0.12370724443289381</v>
      </c>
      <c r="AZ30">
        <f t="shared" si="39"/>
        <v>0.056363470527655946</v>
      </c>
    </row>
    <row r="31" spans="1:52" ht="12.75">
      <c r="A31" s="16">
        <v>14</v>
      </c>
      <c r="B31" s="12">
        <v>0</v>
      </c>
      <c r="C31" s="12">
        <v>120</v>
      </c>
      <c r="D31" s="12">
        <v>120</v>
      </c>
      <c r="E31" s="12">
        <v>120</v>
      </c>
      <c r="F31" s="12">
        <v>5</v>
      </c>
      <c r="G31" s="12">
        <v>0.5</v>
      </c>
      <c r="H31" s="12" t="s">
        <v>55</v>
      </c>
      <c r="I31" s="12" t="s">
        <v>58</v>
      </c>
      <c r="J31" s="12">
        <f t="shared" si="40"/>
        <v>1.5594975942627658</v>
      </c>
      <c r="K31" s="12">
        <f t="shared" si="41"/>
        <v>57.776586121857285</v>
      </c>
      <c r="L31" s="12">
        <f t="shared" si="0"/>
        <v>76.36432500000001</v>
      </c>
      <c r="M31" s="12">
        <f t="shared" si="21"/>
        <v>917.2671153822644</v>
      </c>
      <c r="N31" s="12">
        <f t="shared" si="22"/>
        <v>92643.47873187737</v>
      </c>
      <c r="O31" s="22" t="s">
        <v>64</v>
      </c>
      <c r="P31" s="12">
        <f t="shared" si="23"/>
        <v>259.32052031250004</v>
      </c>
      <c r="Q31" s="17">
        <f t="shared" si="24"/>
        <v>120</v>
      </c>
      <c r="R31">
        <f t="shared" si="25"/>
        <v>0</v>
      </c>
      <c r="S31">
        <f t="shared" si="26"/>
        <v>2.7069</v>
      </c>
      <c r="T31">
        <f t="shared" si="27"/>
        <v>6.4833630721489515</v>
      </c>
      <c r="U31">
        <f t="shared" si="28"/>
        <v>29.861254334272694</v>
      </c>
      <c r="V31">
        <f t="shared" si="29"/>
        <v>1.0923764074999998</v>
      </c>
      <c r="W31">
        <f t="shared" si="30"/>
        <v>2.829825</v>
      </c>
      <c r="X31">
        <f t="shared" si="31"/>
        <v>9.62950796427341</v>
      </c>
      <c r="Y31">
        <f t="shared" si="32"/>
        <v>62.597652262401766</v>
      </c>
      <c r="Z31">
        <f t="shared" si="33"/>
        <v>0.5591805027734376</v>
      </c>
      <c r="AA31">
        <f t="shared" si="1"/>
        <v>119.089981125</v>
      </c>
      <c r="AB31">
        <f t="shared" si="2"/>
        <v>54.138000000000005</v>
      </c>
      <c r="AC31">
        <f t="shared" si="3"/>
        <v>108.27600000000001</v>
      </c>
      <c r="AD31">
        <f t="shared" si="4"/>
        <v>162.41400000000002</v>
      </c>
      <c r="AE31">
        <f t="shared" si="5"/>
        <v>216.55200000000002</v>
      </c>
      <c r="AF31">
        <f t="shared" si="6"/>
        <v>270.69</v>
      </c>
      <c r="AG31">
        <f t="shared" si="7"/>
        <v>0</v>
      </c>
      <c r="AH31">
        <f t="shared" si="8"/>
        <v>0</v>
      </c>
      <c r="AI31">
        <f t="shared" si="9"/>
        <v>3600</v>
      </c>
      <c r="AJ31">
        <f t="shared" si="34"/>
        <v>1.5594975942627658</v>
      </c>
      <c r="AK31">
        <f t="shared" si="35"/>
        <v>57.776586121857285</v>
      </c>
      <c r="AL31">
        <f t="shared" si="10"/>
        <v>917.2671153822644</v>
      </c>
      <c r="AM31">
        <f t="shared" si="11"/>
        <v>3864.029401934424</v>
      </c>
      <c r="AN31">
        <f t="shared" si="12"/>
        <v>856.4917630042044</v>
      </c>
      <c r="AO31">
        <f t="shared" si="13"/>
        <v>14.474124073984866</v>
      </c>
      <c r="AP31">
        <f t="shared" si="14"/>
        <v>1337.9764851437656</v>
      </c>
      <c r="AQ31">
        <f t="shared" si="15"/>
        <v>4826.998846213546</v>
      </c>
      <c r="AR31">
        <f t="shared" si="16"/>
        <v>0</v>
      </c>
      <c r="AS31">
        <f t="shared" si="17"/>
        <v>0</v>
      </c>
      <c r="AT31">
        <f t="shared" si="36"/>
        <v>9446.893955096382</v>
      </c>
      <c r="AU31">
        <f t="shared" si="18"/>
        <v>72296.61415641106</v>
      </c>
      <c r="AV31">
        <f t="shared" si="37"/>
        <v>92643.47873187737</v>
      </c>
      <c r="AW31">
        <f t="shared" si="19"/>
        <v>9044.629018875</v>
      </c>
      <c r="AX31">
        <f t="shared" si="20"/>
        <v>1173237.7235161068</v>
      </c>
      <c r="AY31">
        <f t="shared" si="38"/>
        <v>56.57975132697275</v>
      </c>
      <c r="AZ31">
        <f t="shared" si="39"/>
        <v>0.044235489746444076</v>
      </c>
    </row>
    <row r="32" spans="1:52" ht="12.75">
      <c r="A32" s="16">
        <v>15</v>
      </c>
      <c r="B32" s="12">
        <v>120</v>
      </c>
      <c r="C32" s="12">
        <v>120</v>
      </c>
      <c r="D32" s="12">
        <v>240</v>
      </c>
      <c r="E32" s="12">
        <v>120</v>
      </c>
      <c r="F32" s="12">
        <v>5</v>
      </c>
      <c r="G32" s="12">
        <v>0.5</v>
      </c>
      <c r="H32" s="12" t="s">
        <v>55</v>
      </c>
      <c r="I32" s="12" t="s">
        <v>57</v>
      </c>
      <c r="J32" s="12">
        <f t="shared" si="40"/>
        <v>1.856794469667267</v>
      </c>
      <c r="K32" s="12">
        <f t="shared" si="41"/>
        <v>55.712069641507604</v>
      </c>
      <c r="L32" s="12">
        <f t="shared" si="0"/>
        <v>79.19415000000001</v>
      </c>
      <c r="M32" s="12">
        <f t="shared" si="21"/>
        <v>1168.7529248614737</v>
      </c>
      <c r="N32" s="12">
        <f t="shared" si="22"/>
        <v>101756.18422285319</v>
      </c>
      <c r="O32" s="22" t="s">
        <v>64</v>
      </c>
      <c r="P32" s="12">
        <f t="shared" si="23"/>
        <v>268.930134375</v>
      </c>
      <c r="Q32" s="17">
        <f t="shared" si="24"/>
        <v>120</v>
      </c>
      <c r="R32">
        <f t="shared" si="25"/>
        <v>0</v>
      </c>
      <c r="S32">
        <f t="shared" si="26"/>
        <v>2.7069</v>
      </c>
      <c r="T32">
        <f t="shared" si="27"/>
        <v>6.4833630721489515</v>
      </c>
      <c r="U32">
        <f t="shared" si="28"/>
        <v>29.861254334272694</v>
      </c>
      <c r="V32">
        <f t="shared" si="29"/>
        <v>1.0923764074999998</v>
      </c>
      <c r="W32">
        <f t="shared" si="30"/>
        <v>5.65965</v>
      </c>
      <c r="X32">
        <f t="shared" si="31"/>
        <v>9.62950796427341</v>
      </c>
      <c r="Y32">
        <f t="shared" si="32"/>
        <v>125.19530452480353</v>
      </c>
      <c r="Z32">
        <f t="shared" si="33"/>
        <v>4.4734440221875005</v>
      </c>
      <c r="AA32">
        <f t="shared" si="1"/>
        <v>147.04725975</v>
      </c>
      <c r="AB32">
        <f t="shared" si="2"/>
        <v>54.138000000000005</v>
      </c>
      <c r="AC32">
        <f t="shared" si="3"/>
        <v>108.27600000000001</v>
      </c>
      <c r="AD32">
        <f t="shared" si="4"/>
        <v>162.41400000000002</v>
      </c>
      <c r="AE32">
        <f t="shared" si="5"/>
        <v>216.55200000000002</v>
      </c>
      <c r="AF32">
        <f t="shared" si="6"/>
        <v>270.69</v>
      </c>
      <c r="AG32">
        <f t="shared" si="7"/>
        <v>0</v>
      </c>
      <c r="AH32">
        <f t="shared" si="8"/>
        <v>0</v>
      </c>
      <c r="AI32">
        <f t="shared" si="9"/>
        <v>3600</v>
      </c>
      <c r="AJ32">
        <f t="shared" si="34"/>
        <v>1.856794469667267</v>
      </c>
      <c r="AK32">
        <f t="shared" si="35"/>
        <v>55.712069641507604</v>
      </c>
      <c r="AL32">
        <f t="shared" si="10"/>
        <v>1168.7529248614737</v>
      </c>
      <c r="AM32">
        <f t="shared" si="11"/>
        <v>3453.3424834579514</v>
      </c>
      <c r="AN32">
        <f t="shared" si="12"/>
        <v>669.3424309540743</v>
      </c>
      <c r="AO32">
        <f t="shared" si="13"/>
        <v>50.862378450197</v>
      </c>
      <c r="AP32">
        <f t="shared" si="14"/>
        <v>1597.9023259463197</v>
      </c>
      <c r="AQ32">
        <f t="shared" si="15"/>
        <v>5310.462273442442</v>
      </c>
      <c r="AR32">
        <f t="shared" si="16"/>
        <v>0</v>
      </c>
      <c r="AS32">
        <f t="shared" si="17"/>
        <v>0</v>
      </c>
      <c r="AT32">
        <f t="shared" si="36"/>
        <v>17571.091525045373</v>
      </c>
      <c r="AU32">
        <f t="shared" si="18"/>
        <v>73103.18080555684</v>
      </c>
      <c r="AV32">
        <f t="shared" si="37"/>
        <v>101756.18422285319</v>
      </c>
      <c r="AW32">
        <f t="shared" si="19"/>
        <v>9356.250740250001</v>
      </c>
      <c r="AX32">
        <f t="shared" si="20"/>
        <v>1222773.1033825167</v>
      </c>
      <c r="AY32">
        <f t="shared" si="38"/>
        <v>58.96861030972785</v>
      </c>
      <c r="AZ32">
        <f t="shared" si="39"/>
        <v>0.056363470527655946</v>
      </c>
    </row>
    <row r="33" spans="1:52" ht="13.5" thickBot="1">
      <c r="A33" s="18">
        <v>16</v>
      </c>
      <c r="B33" s="19">
        <v>240</v>
      </c>
      <c r="C33" s="19">
        <v>120</v>
      </c>
      <c r="D33" s="19">
        <v>360</v>
      </c>
      <c r="E33" s="19">
        <v>120</v>
      </c>
      <c r="F33" s="19">
        <v>5</v>
      </c>
      <c r="G33" s="19">
        <v>0.5</v>
      </c>
      <c r="H33" s="19" t="s">
        <v>55</v>
      </c>
      <c r="I33" s="19" t="s">
        <v>57</v>
      </c>
      <c r="J33" s="19">
        <f t="shared" si="40"/>
        <v>1.856794469667267</v>
      </c>
      <c r="K33" s="19">
        <f t="shared" si="41"/>
        <v>55.712069641507604</v>
      </c>
      <c r="L33" s="19">
        <f t="shared" si="0"/>
        <v>79.19415000000001</v>
      </c>
      <c r="M33" s="19">
        <f t="shared" si="21"/>
        <v>1168.7529248614737</v>
      </c>
      <c r="N33" s="19">
        <f t="shared" si="22"/>
        <v>101756.18422285319</v>
      </c>
      <c r="O33" s="25" t="s">
        <v>64</v>
      </c>
      <c r="P33" s="19">
        <f t="shared" si="23"/>
        <v>268.930134375</v>
      </c>
      <c r="Q33" s="20">
        <f t="shared" si="24"/>
        <v>120</v>
      </c>
      <c r="R33">
        <f t="shared" si="25"/>
        <v>0</v>
      </c>
      <c r="S33">
        <f t="shared" si="26"/>
        <v>2.7069</v>
      </c>
      <c r="T33">
        <f t="shared" si="27"/>
        <v>6.4833630721489515</v>
      </c>
      <c r="U33">
        <f t="shared" si="28"/>
        <v>29.861254334272694</v>
      </c>
      <c r="V33">
        <f t="shared" si="29"/>
        <v>1.0923764074999998</v>
      </c>
      <c r="W33">
        <f t="shared" si="30"/>
        <v>5.65965</v>
      </c>
      <c r="X33">
        <f t="shared" si="31"/>
        <v>9.62950796427341</v>
      </c>
      <c r="Y33">
        <f t="shared" si="32"/>
        <v>125.19530452480353</v>
      </c>
      <c r="Z33">
        <f t="shared" si="33"/>
        <v>4.4734440221875005</v>
      </c>
      <c r="AA33">
        <f t="shared" si="1"/>
        <v>147.04725975</v>
      </c>
      <c r="AB33">
        <f t="shared" si="2"/>
        <v>54.138000000000005</v>
      </c>
      <c r="AC33">
        <f t="shared" si="3"/>
        <v>108.27600000000001</v>
      </c>
      <c r="AD33">
        <f t="shared" si="4"/>
        <v>162.41400000000002</v>
      </c>
      <c r="AE33">
        <f t="shared" si="5"/>
        <v>216.55200000000002</v>
      </c>
      <c r="AF33">
        <f t="shared" si="6"/>
        <v>270.69</v>
      </c>
      <c r="AG33">
        <f t="shared" si="7"/>
        <v>0</v>
      </c>
      <c r="AH33">
        <f t="shared" si="8"/>
        <v>0</v>
      </c>
      <c r="AI33">
        <f t="shared" si="9"/>
        <v>3600</v>
      </c>
      <c r="AJ33">
        <f t="shared" si="34"/>
        <v>1.856794469667267</v>
      </c>
      <c r="AK33">
        <f t="shared" si="35"/>
        <v>55.712069641507604</v>
      </c>
      <c r="AL33">
        <f t="shared" si="10"/>
        <v>1168.7529248614737</v>
      </c>
      <c r="AM33">
        <f t="shared" si="11"/>
        <v>3453.3424834579514</v>
      </c>
      <c r="AN33">
        <f t="shared" si="12"/>
        <v>669.3424309540743</v>
      </c>
      <c r="AO33">
        <f t="shared" si="13"/>
        <v>50.862378450197</v>
      </c>
      <c r="AP33">
        <f t="shared" si="14"/>
        <v>1597.9023259463197</v>
      </c>
      <c r="AQ33">
        <f t="shared" si="15"/>
        <v>5310.462273442442</v>
      </c>
      <c r="AR33">
        <f t="shared" si="16"/>
        <v>0</v>
      </c>
      <c r="AS33">
        <f t="shared" si="17"/>
        <v>0</v>
      </c>
      <c r="AT33">
        <f t="shared" si="36"/>
        <v>17571.091525045373</v>
      </c>
      <c r="AU33">
        <f t="shared" si="18"/>
        <v>73103.18080555684</v>
      </c>
      <c r="AV33">
        <f t="shared" si="37"/>
        <v>101756.18422285319</v>
      </c>
      <c r="AW33">
        <f t="shared" si="19"/>
        <v>9356.250740250001</v>
      </c>
      <c r="AX33">
        <f t="shared" si="20"/>
        <v>1222773.1033825167</v>
      </c>
      <c r="AY33">
        <f t="shared" si="38"/>
        <v>58.96861030972785</v>
      </c>
      <c r="AZ33">
        <f t="shared" si="39"/>
        <v>0.056363470527655946</v>
      </c>
    </row>
    <row r="34" spans="51:52" ht="12.75">
      <c r="AY34">
        <f>SUM(AX18:AX33)</f>
        <v>34604468.41285974</v>
      </c>
      <c r="AZ34">
        <f t="shared" si="38"/>
        <v>1668.8111696016463</v>
      </c>
    </row>
    <row r="35" spans="2:5" ht="18">
      <c r="B35" s="9" t="s">
        <v>60</v>
      </c>
      <c r="C35" s="1"/>
      <c r="D35" s="1"/>
      <c r="E35" s="2"/>
    </row>
    <row r="36" spans="2:5" ht="12.75">
      <c r="B36" s="3"/>
      <c r="C36" s="4"/>
      <c r="D36" s="4"/>
      <c r="E36" s="5"/>
    </row>
    <row r="37" spans="2:51" ht="14.25">
      <c r="B37" s="3" t="s">
        <v>71</v>
      </c>
      <c r="C37" s="4"/>
      <c r="D37" s="4"/>
      <c r="E37" s="5">
        <f>SUM(L18:L33)/144*2</f>
        <v>17.59014984364425</v>
      </c>
      <c r="AY37">
        <f>E38*12</f>
        <v>242.3423872229386</v>
      </c>
    </row>
    <row r="38" spans="2:5" ht="12.75">
      <c r="B38" s="3" t="s">
        <v>61</v>
      </c>
      <c r="C38" s="4"/>
      <c r="D38" s="4"/>
      <c r="E38" s="5">
        <f>SUM(AW18:AW33)/SUM(L18:L33)/12</f>
        <v>20.195198935244886</v>
      </c>
    </row>
    <row r="39" spans="2:5" ht="14.25">
      <c r="B39" s="3" t="s">
        <v>72</v>
      </c>
      <c r="C39" s="4"/>
      <c r="D39" s="4"/>
      <c r="E39" s="5">
        <f>SUM(AX18:AX33)/12^4*2</f>
        <v>3337.6223392032925</v>
      </c>
    </row>
    <row r="40" spans="2:5" ht="12.75">
      <c r="B40" s="6" t="s">
        <v>73</v>
      </c>
      <c r="C40" s="7"/>
      <c r="D40" s="7"/>
      <c r="E40" s="8">
        <f>SUM(P18:P33)*2</f>
        <v>8601.583273542035</v>
      </c>
    </row>
  </sheetData>
  <mergeCells count="19">
    <mergeCell ref="A14:Q14"/>
    <mergeCell ref="A8:L8"/>
    <mergeCell ref="A3:L3"/>
    <mergeCell ref="L15:L17"/>
    <mergeCell ref="O15:O17"/>
    <mergeCell ref="M15:M17"/>
    <mergeCell ref="F15:F17"/>
    <mergeCell ref="H15:H17"/>
    <mergeCell ref="I15:I17"/>
    <mergeCell ref="A1:Q1"/>
    <mergeCell ref="A15:A17"/>
    <mergeCell ref="G15:G17"/>
    <mergeCell ref="N15:N17"/>
    <mergeCell ref="P15:P17"/>
    <mergeCell ref="B16:C16"/>
    <mergeCell ref="D16:E16"/>
    <mergeCell ref="B15:E15"/>
    <mergeCell ref="J15:J17"/>
    <mergeCell ref="K15:K17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E20" sqref="E20"/>
    </sheetView>
  </sheetViews>
  <sheetFormatPr defaultColWidth="9.140625" defaultRowHeight="12.75"/>
  <sheetData>
    <row r="1" ht="18">
      <c r="A1" s="10" t="s">
        <v>79</v>
      </c>
    </row>
    <row r="3" ht="13.5" thickBot="1"/>
    <row r="4" spans="1:5" ht="39.75">
      <c r="A4" s="13" t="s">
        <v>80</v>
      </c>
      <c r="B4" s="14" t="s">
        <v>83</v>
      </c>
      <c r="C4" s="14" t="s">
        <v>82</v>
      </c>
      <c r="D4" s="14" t="s">
        <v>81</v>
      </c>
      <c r="E4" s="15" t="s">
        <v>84</v>
      </c>
    </row>
    <row r="5" spans="1:5" ht="12.75">
      <c r="A5" s="16">
        <v>1</v>
      </c>
      <c r="B5" s="12">
        <f>20*A5+A5^2*0.5</f>
        <v>20.5</v>
      </c>
      <c r="C5" s="12">
        <f>2*B5</f>
        <v>41</v>
      </c>
      <c r="D5" s="12">
        <f>64.3*C5</f>
        <v>2636.2999999999997</v>
      </c>
      <c r="E5" s="17">
        <f>D5-StructureCalcs!$E$40</f>
        <v>-5965.283273542036</v>
      </c>
    </row>
    <row r="6" spans="1:5" ht="12.75">
      <c r="A6" s="16">
        <v>2.5</v>
      </c>
      <c r="B6" s="12">
        <f>20*A6+A6^2*0.5</f>
        <v>53.125</v>
      </c>
      <c r="C6" s="12">
        <f aca="true" t="shared" si="0" ref="C6:C17">2*B6</f>
        <v>106.25</v>
      </c>
      <c r="D6" s="12">
        <f aca="true" t="shared" si="1" ref="D6:D17">64.3*C6</f>
        <v>6831.875</v>
      </c>
      <c r="E6" s="17">
        <f>D6-StructureCalcs!$E$40</f>
        <v>-1769.7082735420354</v>
      </c>
    </row>
    <row r="7" spans="1:5" ht="12.75">
      <c r="A7" s="16">
        <v>5</v>
      </c>
      <c r="B7" s="12">
        <f>20*A7+A7^2*0.5</f>
        <v>112.5</v>
      </c>
      <c r="C7" s="12">
        <f t="shared" si="0"/>
        <v>225</v>
      </c>
      <c r="D7" s="12">
        <f t="shared" si="1"/>
        <v>14467.5</v>
      </c>
      <c r="E7" s="17">
        <f>D7-StructureCalcs!$E$40</f>
        <v>5865.916726457965</v>
      </c>
    </row>
    <row r="8" spans="1:5" ht="12.75">
      <c r="A8" s="16">
        <v>7.5</v>
      </c>
      <c r="B8" s="12">
        <f>20*A8+A8^2*0.5</f>
        <v>178.125</v>
      </c>
      <c r="C8" s="12">
        <f t="shared" si="0"/>
        <v>356.25</v>
      </c>
      <c r="D8" s="12">
        <f t="shared" si="1"/>
        <v>22906.875</v>
      </c>
      <c r="E8" s="17">
        <f>D8-StructureCalcs!$E$40</f>
        <v>14305.291726457965</v>
      </c>
    </row>
    <row r="9" spans="1:5" ht="12.75">
      <c r="A9" s="16">
        <v>10</v>
      </c>
      <c r="B9" s="12">
        <f>20*A9+A9^2*0.5</f>
        <v>250</v>
      </c>
      <c r="C9" s="12">
        <f t="shared" si="0"/>
        <v>500</v>
      </c>
      <c r="D9" s="12">
        <f t="shared" si="1"/>
        <v>32150</v>
      </c>
      <c r="E9" s="17">
        <f>D9-StructureCalcs!$E$40</f>
        <v>23548.416726457966</v>
      </c>
    </row>
    <row r="10" spans="1:5" ht="12.75">
      <c r="A10" s="16">
        <v>15</v>
      </c>
      <c r="B10" s="12">
        <f>$B$9+(A10-$A$9)*30</f>
        <v>400</v>
      </c>
      <c r="C10" s="12">
        <f t="shared" si="0"/>
        <v>800</v>
      </c>
      <c r="D10" s="12">
        <f t="shared" si="1"/>
        <v>51440</v>
      </c>
      <c r="E10" s="17">
        <f>D10-StructureCalcs!$E$40</f>
        <v>42838.41672645797</v>
      </c>
    </row>
    <row r="11" spans="1:5" ht="12.75">
      <c r="A11" s="16">
        <v>18</v>
      </c>
      <c r="B11" s="12">
        <f aca="true" t="shared" si="2" ref="B11:B17">$B$9+(A11-$A$9)*30</f>
        <v>490</v>
      </c>
      <c r="C11" s="12">
        <f t="shared" si="0"/>
        <v>980</v>
      </c>
      <c r="D11" s="12">
        <f t="shared" si="1"/>
        <v>63014</v>
      </c>
      <c r="E11" s="17">
        <f>D11-StructureCalcs!$E$40</f>
        <v>54412.41672645797</v>
      </c>
    </row>
    <row r="12" spans="1:5" ht="12.75">
      <c r="A12" s="16">
        <v>19</v>
      </c>
      <c r="B12" s="12">
        <f t="shared" si="2"/>
        <v>520</v>
      </c>
      <c r="C12" s="12">
        <f t="shared" si="0"/>
        <v>1040</v>
      </c>
      <c r="D12" s="12">
        <f t="shared" si="1"/>
        <v>66872</v>
      </c>
      <c r="E12" s="17">
        <f>D12-StructureCalcs!$E$40</f>
        <v>58270.41672645797</v>
      </c>
    </row>
    <row r="13" spans="1:5" ht="12.75">
      <c r="A13" s="16">
        <v>20</v>
      </c>
      <c r="B13" s="12">
        <f t="shared" si="2"/>
        <v>550</v>
      </c>
      <c r="C13" s="12">
        <f t="shared" si="0"/>
        <v>1100</v>
      </c>
      <c r="D13" s="12">
        <f t="shared" si="1"/>
        <v>70730</v>
      </c>
      <c r="E13" s="17">
        <f>D13-StructureCalcs!$E$40</f>
        <v>62128.41672645797</v>
      </c>
    </row>
    <row r="14" spans="1:5" ht="12.75">
      <c r="A14" s="16">
        <v>25</v>
      </c>
      <c r="B14" s="12">
        <f t="shared" si="2"/>
        <v>700</v>
      </c>
      <c r="C14" s="12">
        <f t="shared" si="0"/>
        <v>1400</v>
      </c>
      <c r="D14" s="12">
        <f t="shared" si="1"/>
        <v>90020</v>
      </c>
      <c r="E14" s="17">
        <f>D14-StructureCalcs!$E$40</f>
        <v>81418.41672645796</v>
      </c>
    </row>
    <row r="15" spans="1:5" ht="12.75">
      <c r="A15" s="16">
        <v>30</v>
      </c>
      <c r="B15" s="12">
        <f t="shared" si="2"/>
        <v>850</v>
      </c>
      <c r="C15" s="12">
        <f t="shared" si="0"/>
        <v>1700</v>
      </c>
      <c r="D15" s="12">
        <f t="shared" si="1"/>
        <v>109310</v>
      </c>
      <c r="E15" s="17">
        <f>D15-StructureCalcs!$E$40</f>
        <v>100708.41672645796</v>
      </c>
    </row>
    <row r="16" spans="1:5" ht="12.75">
      <c r="A16" s="16">
        <v>35</v>
      </c>
      <c r="B16" s="12">
        <f t="shared" si="2"/>
        <v>1000</v>
      </c>
      <c r="C16" s="12">
        <f t="shared" si="0"/>
        <v>2000</v>
      </c>
      <c r="D16" s="12">
        <f t="shared" si="1"/>
        <v>128600</v>
      </c>
      <c r="E16" s="17">
        <f>D16-StructureCalcs!$E$40</f>
        <v>119998.41672645796</v>
      </c>
    </row>
    <row r="17" spans="1:5" ht="13.5" thickBot="1">
      <c r="A17" s="18">
        <v>40</v>
      </c>
      <c r="B17" s="19">
        <f t="shared" si="2"/>
        <v>1150</v>
      </c>
      <c r="C17" s="19">
        <f t="shared" si="0"/>
        <v>2300</v>
      </c>
      <c r="D17" s="19">
        <f t="shared" si="1"/>
        <v>147890</v>
      </c>
      <c r="E17" s="20">
        <f>D17-StructureCalcs!$E$40</f>
        <v>139288.41672645797</v>
      </c>
    </row>
    <row r="25" spans="1:2" ht="12.75">
      <c r="A25">
        <f>C5/600</f>
        <v>0.06833333333333333</v>
      </c>
      <c r="B25">
        <f>A5</f>
        <v>1</v>
      </c>
    </row>
    <row r="26" spans="1:2" ht="12.75">
      <c r="A26">
        <f aca="true" t="shared" si="3" ref="A26:A37">C6/600</f>
        <v>0.17708333333333334</v>
      </c>
      <c r="B26">
        <f aca="true" t="shared" si="4" ref="B26:B37">A6</f>
        <v>2.5</v>
      </c>
    </row>
    <row r="27" spans="1:2" ht="12.75">
      <c r="A27">
        <f t="shared" si="3"/>
        <v>0.375</v>
      </c>
      <c r="B27">
        <f t="shared" si="4"/>
        <v>5</v>
      </c>
    </row>
    <row r="28" spans="1:2" ht="12.75">
      <c r="A28">
        <f t="shared" si="3"/>
        <v>0.59375</v>
      </c>
      <c r="B28">
        <f t="shared" si="4"/>
        <v>7.5</v>
      </c>
    </row>
    <row r="29" spans="1:2" ht="12.75">
      <c r="A29">
        <f t="shared" si="3"/>
        <v>0.8333333333333334</v>
      </c>
      <c r="B29">
        <f t="shared" si="4"/>
        <v>10</v>
      </c>
    </row>
    <row r="30" spans="1:2" ht="12.75">
      <c r="A30">
        <f t="shared" si="3"/>
        <v>1.3333333333333333</v>
      </c>
      <c r="B30">
        <f t="shared" si="4"/>
        <v>15</v>
      </c>
    </row>
    <row r="31" spans="1:2" ht="12.75">
      <c r="A31">
        <f t="shared" si="3"/>
        <v>1.6333333333333333</v>
      </c>
      <c r="B31">
        <f t="shared" si="4"/>
        <v>18</v>
      </c>
    </row>
    <row r="32" spans="1:2" ht="12.75">
      <c r="A32">
        <f t="shared" si="3"/>
        <v>1.7333333333333334</v>
      </c>
      <c r="B32">
        <f t="shared" si="4"/>
        <v>19</v>
      </c>
    </row>
    <row r="33" spans="1:2" ht="12.75">
      <c r="A33">
        <f t="shared" si="3"/>
        <v>1.8333333333333333</v>
      </c>
      <c r="B33">
        <f t="shared" si="4"/>
        <v>20</v>
      </c>
    </row>
    <row r="34" spans="1:2" ht="12.75">
      <c r="A34">
        <f t="shared" si="3"/>
        <v>2.3333333333333335</v>
      </c>
      <c r="B34">
        <f t="shared" si="4"/>
        <v>25</v>
      </c>
    </row>
    <row r="35" spans="1:2" ht="12.75">
      <c r="A35">
        <f t="shared" si="3"/>
        <v>2.8333333333333335</v>
      </c>
      <c r="B35">
        <f t="shared" si="4"/>
        <v>30</v>
      </c>
    </row>
    <row r="36" spans="1:2" ht="12.75">
      <c r="A36">
        <f t="shared" si="3"/>
        <v>3.3333333333333335</v>
      </c>
      <c r="B36">
        <f t="shared" si="4"/>
        <v>35</v>
      </c>
    </row>
    <row r="37" spans="1:2" ht="12.75">
      <c r="A37">
        <f t="shared" si="3"/>
        <v>3.8333333333333335</v>
      </c>
      <c r="B37">
        <f t="shared" si="4"/>
        <v>40</v>
      </c>
    </row>
  </sheetData>
  <printOptions/>
  <pageMargins left="0.75" right="0.75" top="1" bottom="1" header="0.5" footer="0.5"/>
  <pageSetup fitToHeight="1" fitToWidth="1" horizontalDpi="600" verticalDpi="600" orientation="landscape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3"/>
  <sheetViews>
    <sheetView tabSelected="1" workbookViewId="0" topLeftCell="A1">
      <selection activeCell="P14" sqref="P14"/>
    </sheetView>
  </sheetViews>
  <sheetFormatPr defaultColWidth="9.140625" defaultRowHeight="12.75"/>
  <cols>
    <col min="5" max="5" width="11.421875" style="0" customWidth="1"/>
  </cols>
  <sheetData>
    <row r="2" spans="1:13" ht="12.75">
      <c r="A2" t="s">
        <v>88</v>
      </c>
      <c r="B2">
        <f>0.5</f>
        <v>0.5</v>
      </c>
      <c r="D2" t="s">
        <v>89</v>
      </c>
      <c r="E2">
        <f>StructureCalcs!F10</f>
        <v>5.65965</v>
      </c>
      <c r="F2" t="s">
        <v>90</v>
      </c>
      <c r="G2">
        <f>StructureCalcs!F5</f>
        <v>2.7069</v>
      </c>
      <c r="H2" t="s">
        <v>95</v>
      </c>
      <c r="I2">
        <v>965800</v>
      </c>
      <c r="J2" t="s">
        <v>96</v>
      </c>
      <c r="K2">
        <f>StructureCalcs!E39*12^4</f>
        <v>69208936.82571948</v>
      </c>
      <c r="L2" t="s">
        <v>97</v>
      </c>
      <c r="M2">
        <f>StructureCalcs!E38*12</f>
        <v>242.3423872229386</v>
      </c>
    </row>
    <row r="4" ht="12.75">
      <c r="A4" t="s">
        <v>85</v>
      </c>
    </row>
    <row r="5" spans="1:7" ht="12.75">
      <c r="A5" t="s">
        <v>87</v>
      </c>
      <c r="B5" t="s">
        <v>86</v>
      </c>
      <c r="C5" t="s">
        <v>98</v>
      </c>
      <c r="D5" t="s">
        <v>91</v>
      </c>
      <c r="E5" t="s">
        <v>92</v>
      </c>
      <c r="F5" t="s">
        <v>93</v>
      </c>
      <c r="G5" t="s">
        <v>94</v>
      </c>
    </row>
    <row r="6" spans="1:8" ht="12.75">
      <c r="A6">
        <v>0</v>
      </c>
      <c r="B6">
        <v>480</v>
      </c>
      <c r="C6">
        <v>0</v>
      </c>
      <c r="D6">
        <v>0</v>
      </c>
      <c r="E6">
        <f>B6-$B$2/2-$M$2</f>
        <v>237.4076127770614</v>
      </c>
      <c r="F6">
        <f>(C6*0.5+D6)*E6</f>
        <v>0</v>
      </c>
      <c r="G6">
        <v>0</v>
      </c>
      <c r="H6">
        <f>ABS(G6)</f>
        <v>0</v>
      </c>
    </row>
    <row r="7" spans="1:8" ht="12.75">
      <c r="A7">
        <v>0</v>
      </c>
      <c r="B7">
        <v>480</v>
      </c>
      <c r="C7">
        <v>0</v>
      </c>
      <c r="D7">
        <f>E2/2</f>
        <v>2.829825</v>
      </c>
      <c r="E7">
        <f aca="true" t="shared" si="0" ref="E7:E43">B7-$B$2/2-$M$2</f>
        <v>237.4076127770614</v>
      </c>
      <c r="F7">
        <f>(C7*0.5+D7)*E7</f>
        <v>671.8219978268478</v>
      </c>
      <c r="G7">
        <f>F7*$I$2/$K$2/$B$2</f>
        <v>18.75034396598461</v>
      </c>
      <c r="H7">
        <f aca="true" t="shared" si="1" ref="H7:H70">ABS(G7)</f>
        <v>18.75034396598461</v>
      </c>
    </row>
    <row r="8" spans="1:8" ht="12.75">
      <c r="A8">
        <v>20</v>
      </c>
      <c r="B8">
        <v>480</v>
      </c>
      <c r="C8">
        <f>C6+20</f>
        <v>20</v>
      </c>
      <c r="D8">
        <v>0</v>
      </c>
      <c r="E8">
        <f t="shared" si="0"/>
        <v>237.4076127770614</v>
      </c>
      <c r="F8">
        <f>(C8*0.5+SUM($D$6:D8))*E8</f>
        <v>3045.8981255974613</v>
      </c>
      <c r="G8">
        <f aca="true" t="shared" si="2" ref="G8:G72">F8*$I$2/$K$2/$B$2</f>
        <v>85.0100736877328</v>
      </c>
      <c r="H8">
        <f t="shared" si="1"/>
        <v>85.0100736877328</v>
      </c>
    </row>
    <row r="9" spans="1:8" ht="12.75">
      <c r="A9">
        <v>20</v>
      </c>
      <c r="B9">
        <v>480</v>
      </c>
      <c r="C9">
        <f>C8</f>
        <v>20</v>
      </c>
      <c r="D9">
        <f>G2</f>
        <v>2.7069</v>
      </c>
      <c r="E9">
        <f t="shared" si="0"/>
        <v>237.4076127770614</v>
      </c>
      <c r="F9">
        <f>(C9*0.5+SUM($D$6:D9))*E9</f>
        <v>3688.536792623689</v>
      </c>
      <c r="G9">
        <f t="shared" si="2"/>
        <v>102.94591992611282</v>
      </c>
      <c r="H9">
        <f t="shared" si="1"/>
        <v>102.94591992611282</v>
      </c>
    </row>
    <row r="10" spans="1:8" ht="12.75">
      <c r="A10">
        <v>40</v>
      </c>
      <c r="B10">
        <v>480</v>
      </c>
      <c r="C10">
        <f>C8+20</f>
        <v>40</v>
      </c>
      <c r="D10">
        <v>0</v>
      </c>
      <c r="E10">
        <f t="shared" si="0"/>
        <v>237.4076127770614</v>
      </c>
      <c r="F10">
        <f>(C10*0.5+SUM($D$6:D10))*E10</f>
        <v>6062.612920394303</v>
      </c>
      <c r="G10">
        <f t="shared" si="2"/>
        <v>169.205649647861</v>
      </c>
      <c r="H10">
        <f t="shared" si="1"/>
        <v>169.205649647861</v>
      </c>
    </row>
    <row r="11" spans="1:8" ht="12.75">
      <c r="A11">
        <v>40</v>
      </c>
      <c r="B11">
        <v>480</v>
      </c>
      <c r="C11">
        <f>C10</f>
        <v>40</v>
      </c>
      <c r="D11">
        <f>G2</f>
        <v>2.7069</v>
      </c>
      <c r="E11">
        <f t="shared" si="0"/>
        <v>237.4076127770614</v>
      </c>
      <c r="F11">
        <f>(C11*0.5+SUM($D$6:D11))*E11</f>
        <v>6705.251587420531</v>
      </c>
      <c r="G11">
        <f t="shared" si="2"/>
        <v>187.14149588624105</v>
      </c>
      <c r="H11">
        <f t="shared" si="1"/>
        <v>187.14149588624105</v>
      </c>
    </row>
    <row r="12" spans="1:8" ht="12.75">
      <c r="A12">
        <v>60</v>
      </c>
      <c r="B12">
        <v>480</v>
      </c>
      <c r="C12">
        <f>C10+20</f>
        <v>60</v>
      </c>
      <c r="D12">
        <v>0</v>
      </c>
      <c r="E12">
        <f t="shared" si="0"/>
        <v>237.4076127770614</v>
      </c>
      <c r="F12">
        <f>(C12*0.5+SUM($D$6:D12))*E12</f>
        <v>9079.327715191144</v>
      </c>
      <c r="G12">
        <f t="shared" si="2"/>
        <v>253.40122560798923</v>
      </c>
      <c r="H12">
        <f t="shared" si="1"/>
        <v>253.40122560798923</v>
      </c>
    </row>
    <row r="13" spans="1:8" ht="12.75">
      <c r="A13">
        <v>60</v>
      </c>
      <c r="B13">
        <v>480</v>
      </c>
      <c r="C13" s="26">
        <f>C12</f>
        <v>60</v>
      </c>
      <c r="D13">
        <f>G2</f>
        <v>2.7069</v>
      </c>
      <c r="E13">
        <f t="shared" si="0"/>
        <v>237.4076127770614</v>
      </c>
      <c r="F13">
        <f>(C13*0.5+SUM($D$6:D13))*E13</f>
        <v>9721.966382217372</v>
      </c>
      <c r="G13">
        <f t="shared" si="2"/>
        <v>271.3370718463692</v>
      </c>
      <c r="H13">
        <f t="shared" si="1"/>
        <v>271.3370718463692</v>
      </c>
    </row>
    <row r="14" spans="1:8" ht="12.75">
      <c r="A14">
        <v>80</v>
      </c>
      <c r="B14">
        <v>480</v>
      </c>
      <c r="C14" s="26">
        <f>C12+20</f>
        <v>80</v>
      </c>
      <c r="D14">
        <v>0</v>
      </c>
      <c r="E14">
        <f t="shared" si="0"/>
        <v>237.4076127770614</v>
      </c>
      <c r="F14">
        <f>(C14*0.5+SUM($D$6:D14))*E14</f>
        <v>12096.042509987985</v>
      </c>
      <c r="G14">
        <f t="shared" si="2"/>
        <v>337.5968015681174</v>
      </c>
      <c r="H14">
        <f t="shared" si="1"/>
        <v>337.5968015681174</v>
      </c>
    </row>
    <row r="15" spans="1:8" ht="12.75">
      <c r="A15">
        <v>80</v>
      </c>
      <c r="B15">
        <v>480</v>
      </c>
      <c r="C15" s="26">
        <f>C14</f>
        <v>80</v>
      </c>
      <c r="D15">
        <f>G2</f>
        <v>2.7069</v>
      </c>
      <c r="E15">
        <f t="shared" si="0"/>
        <v>237.4076127770614</v>
      </c>
      <c r="F15">
        <f>(C15*0.5+SUM($D$6:D15))*E15</f>
        <v>12738.681177014214</v>
      </c>
      <c r="G15">
        <f t="shared" si="2"/>
        <v>355.5326478064975</v>
      </c>
      <c r="H15">
        <f t="shared" si="1"/>
        <v>355.5326478064975</v>
      </c>
    </row>
    <row r="16" spans="1:8" ht="12.75">
      <c r="A16">
        <v>100</v>
      </c>
      <c r="B16">
        <v>480</v>
      </c>
      <c r="C16" s="26">
        <f>C14+20</f>
        <v>100</v>
      </c>
      <c r="D16">
        <v>0</v>
      </c>
      <c r="E16">
        <f t="shared" si="0"/>
        <v>237.4076127770614</v>
      </c>
      <c r="F16">
        <f>(C16*0.5+SUM($D$6:D16))*E16</f>
        <v>15112.757304784827</v>
      </c>
      <c r="G16">
        <f t="shared" si="2"/>
        <v>421.79237752824565</v>
      </c>
      <c r="H16">
        <f t="shared" si="1"/>
        <v>421.79237752824565</v>
      </c>
    </row>
    <row r="17" spans="1:8" ht="12.75">
      <c r="A17">
        <v>100</v>
      </c>
      <c r="B17">
        <v>480</v>
      </c>
      <c r="C17" s="26">
        <f>C16</f>
        <v>100</v>
      </c>
      <c r="D17">
        <f>G2</f>
        <v>2.7069</v>
      </c>
      <c r="E17">
        <f t="shared" si="0"/>
        <v>237.4076127770614</v>
      </c>
      <c r="F17">
        <f>(C17*0.5+SUM($D$6:D17))*E17</f>
        <v>15755.395971811056</v>
      </c>
      <c r="G17">
        <f t="shared" si="2"/>
        <v>439.7282237666257</v>
      </c>
      <c r="H17">
        <f t="shared" si="1"/>
        <v>439.7282237666257</v>
      </c>
    </row>
    <row r="18" spans="1:8" ht="12.75">
      <c r="A18">
        <v>120</v>
      </c>
      <c r="B18">
        <v>480</v>
      </c>
      <c r="C18" s="26">
        <f>C16+20</f>
        <v>120</v>
      </c>
      <c r="D18">
        <v>0</v>
      </c>
      <c r="E18">
        <f t="shared" si="0"/>
        <v>237.4076127770614</v>
      </c>
      <c r="F18">
        <f>(C18*0.5+SUM($D$6:D18))*E18</f>
        <v>18129.47209958167</v>
      </c>
      <c r="G18">
        <f t="shared" si="2"/>
        <v>505.98795348837393</v>
      </c>
      <c r="H18">
        <f t="shared" si="1"/>
        <v>505.98795348837393</v>
      </c>
    </row>
    <row r="19" spans="1:8" ht="12.75">
      <c r="A19">
        <v>120</v>
      </c>
      <c r="B19">
        <v>480</v>
      </c>
      <c r="C19" s="26">
        <f>C18</f>
        <v>120</v>
      </c>
      <c r="D19">
        <f>E2</f>
        <v>5.65965</v>
      </c>
      <c r="E19">
        <f t="shared" si="0"/>
        <v>237.4076127770614</v>
      </c>
      <c r="F19">
        <f>(C19*0.5+SUM($D$6:D19))*E19</f>
        <v>19473.116095235364</v>
      </c>
      <c r="G19">
        <f t="shared" si="2"/>
        <v>543.488641420343</v>
      </c>
      <c r="H19">
        <f t="shared" si="1"/>
        <v>543.488641420343</v>
      </c>
    </row>
    <row r="20" spans="1:8" ht="12.75">
      <c r="A20">
        <v>140</v>
      </c>
      <c r="B20">
        <v>480</v>
      </c>
      <c r="C20" s="26">
        <f>C18+20</f>
        <v>140</v>
      </c>
      <c r="D20">
        <v>0</v>
      </c>
      <c r="E20">
        <f t="shared" si="0"/>
        <v>237.4076127770614</v>
      </c>
      <c r="F20">
        <f>(C20*0.5+SUM($D$6:D20))*E20</f>
        <v>21847.19222300598</v>
      </c>
      <c r="G20">
        <f t="shared" si="2"/>
        <v>609.7483711420913</v>
      </c>
      <c r="H20">
        <f t="shared" si="1"/>
        <v>609.7483711420913</v>
      </c>
    </row>
    <row r="21" spans="1:8" ht="12.75">
      <c r="A21">
        <v>140</v>
      </c>
      <c r="B21">
        <v>480</v>
      </c>
      <c r="C21" s="26">
        <f>C20</f>
        <v>140</v>
      </c>
      <c r="D21">
        <f>G2</f>
        <v>2.7069</v>
      </c>
      <c r="E21">
        <f t="shared" si="0"/>
        <v>237.4076127770614</v>
      </c>
      <c r="F21">
        <f>(C21*0.5+SUM($D$6:D21))*E21</f>
        <v>22489.830890032204</v>
      </c>
      <c r="G21">
        <f t="shared" si="2"/>
        <v>627.6842173804712</v>
      </c>
      <c r="H21">
        <f t="shared" si="1"/>
        <v>627.6842173804712</v>
      </c>
    </row>
    <row r="22" spans="1:8" ht="12.75">
      <c r="A22">
        <v>160</v>
      </c>
      <c r="B22">
        <v>480</v>
      </c>
      <c r="C22" s="26">
        <f>C20+20</f>
        <v>160</v>
      </c>
      <c r="D22">
        <v>0</v>
      </c>
      <c r="E22">
        <f t="shared" si="0"/>
        <v>237.4076127770614</v>
      </c>
      <c r="F22">
        <f>(C22*0.5+SUM($D$6:D22))*E22</f>
        <v>24863.90701780282</v>
      </c>
      <c r="G22">
        <f t="shared" si="2"/>
        <v>693.9439471022196</v>
      </c>
      <c r="H22">
        <f t="shared" si="1"/>
        <v>693.9439471022196</v>
      </c>
    </row>
    <row r="23" spans="1:8" ht="12.75">
      <c r="A23">
        <v>160</v>
      </c>
      <c r="B23">
        <v>480</v>
      </c>
      <c r="C23" s="26">
        <f>C22</f>
        <v>160</v>
      </c>
      <c r="D23">
        <f>G2</f>
        <v>2.7069</v>
      </c>
      <c r="E23">
        <f t="shared" si="0"/>
        <v>237.4076127770614</v>
      </c>
      <c r="F23">
        <f>(C23*0.5+SUM($D$6:D23))*E23</f>
        <v>25506.54568482905</v>
      </c>
      <c r="G23">
        <f t="shared" si="2"/>
        <v>711.8797933405996</v>
      </c>
      <c r="H23">
        <f t="shared" si="1"/>
        <v>711.8797933405996</v>
      </c>
    </row>
    <row r="24" spans="1:8" ht="12.75">
      <c r="A24">
        <v>180</v>
      </c>
      <c r="B24">
        <v>480</v>
      </c>
      <c r="C24" s="26">
        <f>C22+20</f>
        <v>180</v>
      </c>
      <c r="D24">
        <v>0</v>
      </c>
      <c r="E24">
        <f t="shared" si="0"/>
        <v>237.4076127770614</v>
      </c>
      <c r="F24">
        <f>(C24*0.5+SUM($D$6:D24))*E24</f>
        <v>27880.62181259966</v>
      </c>
      <c r="G24">
        <f t="shared" si="2"/>
        <v>778.1395230623477</v>
      </c>
      <c r="H24">
        <f t="shared" si="1"/>
        <v>778.1395230623477</v>
      </c>
    </row>
    <row r="25" spans="1:8" ht="12.75">
      <c r="A25">
        <v>180</v>
      </c>
      <c r="B25">
        <v>480</v>
      </c>
      <c r="C25" s="26">
        <f>C24</f>
        <v>180</v>
      </c>
      <c r="D25">
        <f>G2</f>
        <v>2.7069</v>
      </c>
      <c r="E25">
        <f t="shared" si="0"/>
        <v>237.4076127770614</v>
      </c>
      <c r="F25">
        <f>(C25*0.5+SUM($D$6:D25))*E25</f>
        <v>28523.26047962589</v>
      </c>
      <c r="G25">
        <f t="shared" si="2"/>
        <v>796.0753693007277</v>
      </c>
      <c r="H25">
        <f t="shared" si="1"/>
        <v>796.0753693007277</v>
      </c>
    </row>
    <row r="26" spans="1:8" ht="12.75">
      <c r="A26">
        <v>200</v>
      </c>
      <c r="B26">
        <v>480</v>
      </c>
      <c r="C26" s="26">
        <f>C24+20</f>
        <v>200</v>
      </c>
      <c r="D26">
        <v>0</v>
      </c>
      <c r="E26">
        <f t="shared" si="0"/>
        <v>237.4076127770614</v>
      </c>
      <c r="F26">
        <f>(C26*0.5+SUM($D$6:D26))*E26</f>
        <v>30897.336607396504</v>
      </c>
      <c r="G26">
        <f t="shared" si="2"/>
        <v>862.335099022476</v>
      </c>
      <c r="H26">
        <f t="shared" si="1"/>
        <v>862.335099022476</v>
      </c>
    </row>
    <row r="27" spans="1:8" ht="12.75">
      <c r="A27">
        <v>200</v>
      </c>
      <c r="B27">
        <v>480</v>
      </c>
      <c r="C27" s="26">
        <f>C26</f>
        <v>200</v>
      </c>
      <c r="D27">
        <f>G2</f>
        <v>2.7069</v>
      </c>
      <c r="E27">
        <f t="shared" si="0"/>
        <v>237.4076127770614</v>
      </c>
      <c r="F27">
        <f>(C27*0.5+SUM($D$6:D27))*E27</f>
        <v>31539.97527442273</v>
      </c>
      <c r="G27">
        <f t="shared" si="2"/>
        <v>880.2709452608559</v>
      </c>
      <c r="H27">
        <f t="shared" si="1"/>
        <v>880.2709452608559</v>
      </c>
    </row>
    <row r="28" spans="1:8" ht="12.75">
      <c r="A28">
        <v>220</v>
      </c>
      <c r="B28">
        <v>480</v>
      </c>
      <c r="C28" s="26">
        <f>C26+20</f>
        <v>220</v>
      </c>
      <c r="D28">
        <v>0</v>
      </c>
      <c r="E28">
        <f t="shared" si="0"/>
        <v>237.4076127770614</v>
      </c>
      <c r="F28">
        <f>(C28*0.5+SUM($D$6:D28))*E28</f>
        <v>33914.05140219334</v>
      </c>
      <c r="G28">
        <f t="shared" si="2"/>
        <v>946.5306749826041</v>
      </c>
      <c r="H28">
        <f t="shared" si="1"/>
        <v>946.5306749826041</v>
      </c>
    </row>
    <row r="29" spans="1:8" ht="12.75">
      <c r="A29">
        <v>220</v>
      </c>
      <c r="B29">
        <v>480</v>
      </c>
      <c r="C29" s="26">
        <f>C28</f>
        <v>220</v>
      </c>
      <c r="D29">
        <f>G2</f>
        <v>2.7069</v>
      </c>
      <c r="E29">
        <f t="shared" si="0"/>
        <v>237.4076127770614</v>
      </c>
      <c r="F29">
        <f>(C29*0.5+SUM($D$6:D29))*E29</f>
        <v>34556.69006921957</v>
      </c>
      <c r="G29">
        <f t="shared" si="2"/>
        <v>964.4665212209841</v>
      </c>
      <c r="H29">
        <f t="shared" si="1"/>
        <v>964.4665212209841</v>
      </c>
    </row>
    <row r="30" spans="1:8" ht="12.75">
      <c r="A30">
        <v>240</v>
      </c>
      <c r="B30">
        <v>480</v>
      </c>
      <c r="C30" s="26">
        <f>C28+20</f>
        <v>240</v>
      </c>
      <c r="D30">
        <v>0</v>
      </c>
      <c r="E30">
        <f t="shared" si="0"/>
        <v>237.4076127770614</v>
      </c>
      <c r="F30">
        <f>(C30*0.5+SUM($D$6:D30))*E30</f>
        <v>36930.76619699018</v>
      </c>
      <c r="G30">
        <f t="shared" si="2"/>
        <v>1030.7262509427321</v>
      </c>
      <c r="H30">
        <f t="shared" si="1"/>
        <v>1030.7262509427321</v>
      </c>
    </row>
    <row r="31" spans="1:8" ht="12.75">
      <c r="A31">
        <v>240</v>
      </c>
      <c r="B31">
        <v>480</v>
      </c>
      <c r="C31" s="26">
        <f>C30</f>
        <v>240</v>
      </c>
      <c r="D31">
        <f>E2</f>
        <v>5.65965</v>
      </c>
      <c r="E31">
        <f t="shared" si="0"/>
        <v>237.4076127770614</v>
      </c>
      <c r="F31">
        <f>(C31*0.5+SUM($D$6:D31))*E31</f>
        <v>38274.410192643874</v>
      </c>
      <c r="G31">
        <f t="shared" si="2"/>
        <v>1068.2269388747013</v>
      </c>
      <c r="H31">
        <f t="shared" si="1"/>
        <v>1068.2269388747013</v>
      </c>
    </row>
    <row r="32" spans="1:8" ht="12.75">
      <c r="A32">
        <v>260</v>
      </c>
      <c r="B32">
        <v>480</v>
      </c>
      <c r="C32" s="26">
        <f>C30+20</f>
        <v>260</v>
      </c>
      <c r="D32">
        <v>0</v>
      </c>
      <c r="E32">
        <f t="shared" si="0"/>
        <v>237.4076127770614</v>
      </c>
      <c r="F32">
        <f>(C32*0.5+SUM($D$6:D32))*E32</f>
        <v>40648.48632041449</v>
      </c>
      <c r="G32">
        <f t="shared" si="2"/>
        <v>1134.4866685964496</v>
      </c>
      <c r="H32">
        <f t="shared" si="1"/>
        <v>1134.4866685964496</v>
      </c>
    </row>
    <row r="33" spans="1:8" ht="12.75">
      <c r="A33">
        <v>260</v>
      </c>
      <c r="B33">
        <v>480</v>
      </c>
      <c r="C33" s="26">
        <f>C32</f>
        <v>260</v>
      </c>
      <c r="D33">
        <f>G2</f>
        <v>2.7069</v>
      </c>
      <c r="E33">
        <f t="shared" si="0"/>
        <v>237.4076127770614</v>
      </c>
      <c r="F33">
        <f>(C33*0.5+SUM($D$6:D33))*E33</f>
        <v>41291.12498744072</v>
      </c>
      <c r="G33">
        <f t="shared" si="2"/>
        <v>1152.4225148348296</v>
      </c>
      <c r="H33">
        <f t="shared" si="1"/>
        <v>1152.4225148348296</v>
      </c>
    </row>
    <row r="34" spans="1:8" ht="12.75">
      <c r="A34">
        <v>280</v>
      </c>
      <c r="B34">
        <v>480</v>
      </c>
      <c r="C34" s="26">
        <f>C32+20</f>
        <v>280</v>
      </c>
      <c r="D34">
        <v>0</v>
      </c>
      <c r="E34">
        <f t="shared" si="0"/>
        <v>237.4076127770614</v>
      </c>
      <c r="F34">
        <f>(C34*0.5+SUM($D$6:D34))*E34</f>
        <v>43665.201115211334</v>
      </c>
      <c r="G34">
        <f t="shared" si="2"/>
        <v>1218.6822445565779</v>
      </c>
      <c r="H34">
        <f t="shared" si="1"/>
        <v>1218.6822445565779</v>
      </c>
    </row>
    <row r="35" spans="1:8" ht="12.75">
      <c r="A35">
        <v>280</v>
      </c>
      <c r="B35">
        <v>480</v>
      </c>
      <c r="C35" s="26">
        <f>C34</f>
        <v>280</v>
      </c>
      <c r="D35">
        <f>G2</f>
        <v>2.7069</v>
      </c>
      <c r="E35">
        <f t="shared" si="0"/>
        <v>237.4076127770614</v>
      </c>
      <c r="F35">
        <f>(C35*0.5+SUM($D$6:D35))*E35</f>
        <v>44307.83978223756</v>
      </c>
      <c r="G35">
        <f t="shared" si="2"/>
        <v>1236.6180907949579</v>
      </c>
      <c r="H35">
        <f t="shared" si="1"/>
        <v>1236.6180907949579</v>
      </c>
    </row>
    <row r="36" spans="1:8" ht="12.75">
      <c r="A36">
        <v>300</v>
      </c>
      <c r="B36">
        <v>480</v>
      </c>
      <c r="C36" s="26">
        <f>C34+20</f>
        <v>300</v>
      </c>
      <c r="D36">
        <v>0</v>
      </c>
      <c r="E36">
        <f t="shared" si="0"/>
        <v>237.4076127770614</v>
      </c>
      <c r="F36">
        <f>(C36*0.5+SUM($D$6:D36))*E36</f>
        <v>46681.915910008174</v>
      </c>
      <c r="G36">
        <f t="shared" si="2"/>
        <v>1302.8778205167062</v>
      </c>
      <c r="H36">
        <f t="shared" si="1"/>
        <v>1302.8778205167062</v>
      </c>
    </row>
    <row r="37" spans="1:8" ht="12.75">
      <c r="A37">
        <v>300</v>
      </c>
      <c r="B37">
        <v>480</v>
      </c>
      <c r="C37" s="26">
        <f>C36</f>
        <v>300</v>
      </c>
      <c r="D37">
        <f>G2</f>
        <v>2.7069</v>
      </c>
      <c r="E37">
        <f t="shared" si="0"/>
        <v>237.4076127770614</v>
      </c>
      <c r="F37">
        <f>(C37*0.5+SUM($D$6:D37))*E37</f>
        <v>47324.5545770344</v>
      </c>
      <c r="G37">
        <f t="shared" si="2"/>
        <v>1320.8136667550862</v>
      </c>
      <c r="H37">
        <f t="shared" si="1"/>
        <v>1320.8136667550862</v>
      </c>
    </row>
    <row r="38" spans="1:8" ht="12.75">
      <c r="A38">
        <v>320</v>
      </c>
      <c r="B38">
        <v>480</v>
      </c>
      <c r="C38" s="26">
        <f>C36+20</f>
        <v>320</v>
      </c>
      <c r="D38">
        <v>0</v>
      </c>
      <c r="E38">
        <f t="shared" si="0"/>
        <v>237.4076127770614</v>
      </c>
      <c r="F38">
        <f>(C38*0.5+SUM($D$6:D38))*E38</f>
        <v>49698.630704805015</v>
      </c>
      <c r="G38">
        <f t="shared" si="2"/>
        <v>1387.0733964768342</v>
      </c>
      <c r="H38">
        <f t="shared" si="1"/>
        <v>1387.0733964768342</v>
      </c>
    </row>
    <row r="39" spans="1:8" ht="12.75">
      <c r="A39">
        <v>320</v>
      </c>
      <c r="B39">
        <v>480</v>
      </c>
      <c r="C39" s="26">
        <f>C38</f>
        <v>320</v>
      </c>
      <c r="D39">
        <f>G2</f>
        <v>2.7069</v>
      </c>
      <c r="E39">
        <f t="shared" si="0"/>
        <v>237.4076127770614</v>
      </c>
      <c r="F39">
        <f>(C39*0.5+SUM($D$6:D39))*E39</f>
        <v>50341.269371831244</v>
      </c>
      <c r="G39">
        <f t="shared" si="2"/>
        <v>1405.0092427152142</v>
      </c>
      <c r="H39">
        <f t="shared" si="1"/>
        <v>1405.0092427152142</v>
      </c>
    </row>
    <row r="40" spans="1:8" ht="12.75">
      <c r="A40">
        <v>340</v>
      </c>
      <c r="B40">
        <v>480</v>
      </c>
      <c r="C40" s="26">
        <f>C38+20</f>
        <v>340</v>
      </c>
      <c r="D40">
        <v>0</v>
      </c>
      <c r="E40">
        <f t="shared" si="0"/>
        <v>237.4076127770614</v>
      </c>
      <c r="F40">
        <f>(C40*0.5+SUM($D$6:D40))*E40</f>
        <v>52715.34549960186</v>
      </c>
      <c r="G40">
        <f t="shared" si="2"/>
        <v>1471.2689724369627</v>
      </c>
      <c r="H40">
        <f t="shared" si="1"/>
        <v>1471.2689724369627</v>
      </c>
    </row>
    <row r="41" spans="1:8" ht="12.75">
      <c r="A41">
        <v>340</v>
      </c>
      <c r="B41">
        <v>480</v>
      </c>
      <c r="C41" s="26">
        <f>C40</f>
        <v>340</v>
      </c>
      <c r="D41">
        <f>G2</f>
        <v>2.7069</v>
      </c>
      <c r="E41">
        <f t="shared" si="0"/>
        <v>237.4076127770614</v>
      </c>
      <c r="F41">
        <f>(C41*0.5+SUM($D$6:D41))*E41</f>
        <v>53357.984166628084</v>
      </c>
      <c r="G41">
        <f t="shared" si="2"/>
        <v>1489.2048186753425</v>
      </c>
      <c r="H41">
        <f t="shared" si="1"/>
        <v>1489.2048186753425</v>
      </c>
    </row>
    <row r="42" spans="1:8" ht="12.75">
      <c r="A42">
        <v>360</v>
      </c>
      <c r="B42">
        <v>480</v>
      </c>
      <c r="C42" s="26">
        <f>C40+20</f>
        <v>360</v>
      </c>
      <c r="D42">
        <v>0</v>
      </c>
      <c r="E42">
        <f t="shared" si="0"/>
        <v>237.4076127770614</v>
      </c>
      <c r="F42">
        <f>(C42*0.5+SUM($D$6:D42))*E42</f>
        <v>55732.060294398696</v>
      </c>
      <c r="G42">
        <f t="shared" si="2"/>
        <v>1555.4645483970908</v>
      </c>
      <c r="H42">
        <f t="shared" si="1"/>
        <v>1555.4645483970908</v>
      </c>
    </row>
    <row r="43" spans="1:10" ht="12.75">
      <c r="A43">
        <v>360</v>
      </c>
      <c r="B43">
        <v>480</v>
      </c>
      <c r="C43" s="26">
        <v>0</v>
      </c>
      <c r="D43" s="26">
        <v>0</v>
      </c>
      <c r="E43">
        <f t="shared" si="0"/>
        <v>237.4076127770614</v>
      </c>
      <c r="F43">
        <f>$F$42+((480-$M$2)*C43-C43^2/2)*0.5</f>
        <v>55732.060294398696</v>
      </c>
      <c r="G43">
        <f t="shared" si="2"/>
        <v>1555.4645483970908</v>
      </c>
      <c r="H43">
        <f t="shared" si="1"/>
        <v>1555.4645483970908</v>
      </c>
      <c r="I43" t="s">
        <v>99</v>
      </c>
      <c r="J43" t="s">
        <v>104</v>
      </c>
    </row>
    <row r="44" spans="1:8" ht="12.75">
      <c r="A44">
        <v>360</v>
      </c>
      <c r="B44">
        <v>460</v>
      </c>
      <c r="C44" s="26">
        <v>20</v>
      </c>
      <c r="D44">
        <v>0</v>
      </c>
      <c r="E44">
        <f aca="true" t="shared" si="3" ref="E44:E54">$B$42-($B$42-B44)/2-$M$2</f>
        <v>227.6576127770614</v>
      </c>
      <c r="F44">
        <f>$F$42+((480-$M$2)*C44-C44^2/2)*0.5</f>
        <v>58008.63642216931</v>
      </c>
      <c r="G44">
        <f t="shared" si="2"/>
        <v>1619.003083304443</v>
      </c>
      <c r="H44">
        <f t="shared" si="1"/>
        <v>1619.003083304443</v>
      </c>
    </row>
    <row r="45" spans="1:8" ht="12.75">
      <c r="A45">
        <v>360</v>
      </c>
      <c r="B45">
        <v>460</v>
      </c>
      <c r="C45" s="26">
        <v>20</v>
      </c>
      <c r="D45">
        <f>G2</f>
        <v>2.7069</v>
      </c>
      <c r="E45">
        <f t="shared" si="3"/>
        <v>227.6576127770614</v>
      </c>
      <c r="F45">
        <f>$F$42+((480-$M$2)*C45-C45^2/2+$D$45*($B$45-$M$2))*0.5</f>
        <v>58303.225118182425</v>
      </c>
      <c r="G45">
        <f t="shared" si="2"/>
        <v>1627.2249626067048</v>
      </c>
      <c r="H45">
        <f t="shared" si="1"/>
        <v>1627.2249626067048</v>
      </c>
    </row>
    <row r="46" spans="1:8" ht="12.75">
      <c r="A46">
        <v>360</v>
      </c>
      <c r="B46">
        <v>440</v>
      </c>
      <c r="C46" s="26">
        <f>C44+20</f>
        <v>40</v>
      </c>
      <c r="D46">
        <v>0</v>
      </c>
      <c r="E46">
        <f t="shared" si="3"/>
        <v>217.6576127770614</v>
      </c>
      <c r="F46">
        <f>$F$42+((480-$M$2)*C46-C46^2/2+$D$45*($B$45-$M$2))*0.5</f>
        <v>60379.80124595304</v>
      </c>
      <c r="G46">
        <f t="shared" si="2"/>
        <v>1685.1815594332452</v>
      </c>
      <c r="H46">
        <f t="shared" si="1"/>
        <v>1685.1815594332452</v>
      </c>
    </row>
    <row r="47" spans="1:8" ht="12.75">
      <c r="A47">
        <v>360</v>
      </c>
      <c r="B47">
        <v>440</v>
      </c>
      <c r="C47" s="26">
        <f>C46</f>
        <v>40</v>
      </c>
      <c r="D47">
        <f>G2</f>
        <v>2.7069</v>
      </c>
      <c r="E47">
        <f t="shared" si="3"/>
        <v>217.6576127770614</v>
      </c>
      <c r="F47">
        <f>$F$42+((480-$M$2)*C47-C47^2/2+D47*($B$45-$M$2)+D47*($B$47-$M$2))*0.5</f>
        <v>60647.32094196615</v>
      </c>
      <c r="G47">
        <f t="shared" si="2"/>
        <v>1692.6479513259594</v>
      </c>
      <c r="H47">
        <f t="shared" si="1"/>
        <v>1692.6479513259594</v>
      </c>
    </row>
    <row r="48" spans="1:8" ht="12.75">
      <c r="A48">
        <v>360</v>
      </c>
      <c r="B48">
        <v>420</v>
      </c>
      <c r="C48" s="26">
        <f>C46+20</f>
        <v>60</v>
      </c>
      <c r="D48">
        <v>0</v>
      </c>
      <c r="E48">
        <f t="shared" si="3"/>
        <v>207.6576127770614</v>
      </c>
      <c r="F48">
        <f>$F$42+((480-$M$2)*C48-C48^2/2+D45*($B$45-$M$2)+D47*($B$47-$M$2))*0.5</f>
        <v>62523.89706973676</v>
      </c>
      <c r="G48">
        <f t="shared" si="2"/>
        <v>1745.0226100716875</v>
      </c>
      <c r="H48">
        <f t="shared" si="1"/>
        <v>1745.0226100716875</v>
      </c>
    </row>
    <row r="49" spans="1:8" ht="12.75">
      <c r="A49">
        <v>360</v>
      </c>
      <c r="B49">
        <v>420</v>
      </c>
      <c r="C49" s="26">
        <f>C48</f>
        <v>60</v>
      </c>
      <c r="D49">
        <f>G2</f>
        <v>2.7069</v>
      </c>
      <c r="E49">
        <f t="shared" si="3"/>
        <v>207.6576127770614</v>
      </c>
      <c r="F49">
        <f>$F$42+((480-$M$2)*C49-C49^2/2+D49*($B$45-$M$2)+D49*($B$47-$M$2)+D49*($B$49-$M$2))*0.5</f>
        <v>62764.34776574988</v>
      </c>
      <c r="G49">
        <f t="shared" si="2"/>
        <v>1751.7335145548543</v>
      </c>
      <c r="H49">
        <f t="shared" si="1"/>
        <v>1751.7335145548543</v>
      </c>
    </row>
    <row r="50" spans="1:8" ht="12.75">
      <c r="A50">
        <v>360</v>
      </c>
      <c r="B50">
        <v>400</v>
      </c>
      <c r="C50" s="26">
        <f>C48+20</f>
        <v>80</v>
      </c>
      <c r="D50">
        <v>0</v>
      </c>
      <c r="E50">
        <f t="shared" si="3"/>
        <v>197.6576127770614</v>
      </c>
      <c r="F50">
        <f>$F$42+((480-$M$2)*C50-C50^2/2+D45*($B$45-$M$2)+D47*($B$47-$M$2)+D49*($B$49-$M$2))*0.5</f>
        <v>64440.92389352049</v>
      </c>
      <c r="G50">
        <f t="shared" si="2"/>
        <v>1798.5262352197706</v>
      </c>
      <c r="H50">
        <f t="shared" si="1"/>
        <v>1798.5262352197706</v>
      </c>
    </row>
    <row r="51" spans="1:8" ht="12.75">
      <c r="A51">
        <v>360</v>
      </c>
      <c r="B51">
        <v>400</v>
      </c>
      <c r="C51" s="26">
        <f>C50</f>
        <v>80</v>
      </c>
      <c r="D51">
        <f>G2</f>
        <v>2.7069</v>
      </c>
      <c r="E51">
        <f t="shared" si="3"/>
        <v>197.6576127770614</v>
      </c>
      <c r="F51">
        <f>$F$42+((480-$M$2)*C51-C51^2/2+D45*($B$45-$M$2)+D47*($B$47-$M$2)+D49*($B$49-$M$2)+D51*($B$51-$M$2))*0.5</f>
        <v>64654.30558953361</v>
      </c>
      <c r="G51">
        <f t="shared" si="2"/>
        <v>1804.48165229339</v>
      </c>
      <c r="H51">
        <f t="shared" si="1"/>
        <v>1804.48165229339</v>
      </c>
    </row>
    <row r="52" spans="1:8" ht="12.75">
      <c r="A52">
        <v>360</v>
      </c>
      <c r="B52">
        <v>380</v>
      </c>
      <c r="C52" s="26">
        <f>C50+20</f>
        <v>100</v>
      </c>
      <c r="D52">
        <v>0</v>
      </c>
      <c r="E52">
        <f t="shared" si="3"/>
        <v>187.6576127770614</v>
      </c>
      <c r="F52">
        <f>$F$42+((480-$M$2)*C52-C52^2/2+D45*($B$45-$M$2)+D47*($B$47-$M$2)+D49*($B$49-$M$2)+D51*($B$51-$M$2))*0.5</f>
        <v>66130.88171730422</v>
      </c>
      <c r="G52">
        <f t="shared" si="2"/>
        <v>1845.692434877494</v>
      </c>
      <c r="H52">
        <f t="shared" si="1"/>
        <v>1845.692434877494</v>
      </c>
    </row>
    <row r="53" spans="1:8" ht="12.75">
      <c r="A53">
        <v>360</v>
      </c>
      <c r="B53">
        <v>380</v>
      </c>
      <c r="C53" s="26">
        <f>C52</f>
        <v>100</v>
      </c>
      <c r="D53">
        <f>G2</f>
        <v>2.7069</v>
      </c>
      <c r="E53">
        <f t="shared" si="3"/>
        <v>187.6576127770614</v>
      </c>
      <c r="F53">
        <f>$F$42+((480-$M$2)*C53-C53^2/2+D45*($B$45-$M$2)+D47*($B$47-$M$2)+D49*($B$49-$M$2)+D51*($B$51-$M$2)+D53*($B$53-$M$2))*0.5</f>
        <v>66317.19441331734</v>
      </c>
      <c r="G53">
        <f t="shared" si="2"/>
        <v>1850.8923645415657</v>
      </c>
      <c r="H53">
        <f t="shared" si="1"/>
        <v>1850.8923645415657</v>
      </c>
    </row>
    <row r="54" spans="1:8" ht="12.75">
      <c r="A54">
        <v>360</v>
      </c>
      <c r="B54">
        <v>360</v>
      </c>
      <c r="C54" s="26">
        <f>C52+20</f>
        <v>120</v>
      </c>
      <c r="D54">
        <v>0</v>
      </c>
      <c r="E54">
        <f t="shared" si="3"/>
        <v>177.6576127770614</v>
      </c>
      <c r="F54">
        <f>$F$42+((480-$M$2)*C54-C54^2/2+D45*($B$45-$M$2)+D47*($B$47-$M$2)+D49*($B$49-$M$2)+D51*($B$51-$M$2)+D53*($B$53-$M$2))*0.5</f>
        <v>67593.77054108794</v>
      </c>
      <c r="G54">
        <f t="shared" si="2"/>
        <v>1886.5212090448574</v>
      </c>
      <c r="H54">
        <f t="shared" si="1"/>
        <v>1886.5212090448574</v>
      </c>
    </row>
    <row r="55" spans="1:9" ht="12.75">
      <c r="A55">
        <v>120</v>
      </c>
      <c r="B55">
        <v>360</v>
      </c>
      <c r="C55" s="26">
        <v>0</v>
      </c>
      <c r="D55">
        <v>0</v>
      </c>
      <c r="E55">
        <f>360-0.25-$M$2</f>
        <v>117.40761277706139</v>
      </c>
      <c r="F55">
        <f>(C55*0.5+D55)*E55</f>
        <v>0</v>
      </c>
      <c r="G55">
        <f t="shared" si="2"/>
        <v>0</v>
      </c>
      <c r="H55">
        <f t="shared" si="1"/>
        <v>0</v>
      </c>
      <c r="I55" t="s">
        <v>100</v>
      </c>
    </row>
    <row r="56" spans="1:8" ht="12.75">
      <c r="A56">
        <v>120</v>
      </c>
      <c r="B56">
        <v>360</v>
      </c>
      <c r="C56" s="26">
        <v>0</v>
      </c>
      <c r="D56">
        <f>E2</f>
        <v>5.65965</v>
      </c>
      <c r="E56">
        <f aca="true" t="shared" si="4" ref="E56:E79">360-0.25-$M$2</f>
        <v>117.40761277706139</v>
      </c>
      <c r="F56">
        <f>(C56*0.5+D56)*E56</f>
        <v>664.4859956536955</v>
      </c>
      <c r="G56">
        <f t="shared" si="2"/>
        <v>18.545598416528414</v>
      </c>
      <c r="H56">
        <f t="shared" si="1"/>
        <v>18.545598416528414</v>
      </c>
    </row>
    <row r="57" spans="1:8" ht="12.75">
      <c r="A57">
        <v>140</v>
      </c>
      <c r="B57">
        <v>360</v>
      </c>
      <c r="C57" s="26">
        <f aca="true" t="shared" si="5" ref="C57:C79">C55+20</f>
        <v>20</v>
      </c>
      <c r="D57">
        <v>0</v>
      </c>
      <c r="E57">
        <f t="shared" si="4"/>
        <v>117.40761277706139</v>
      </c>
      <c r="F57">
        <f>(C57*0.5+SUM($D$55:D57))*E57</f>
        <v>1838.5621234243092</v>
      </c>
      <c r="G57">
        <f t="shared" si="2"/>
        <v>51.313699653404214</v>
      </c>
      <c r="H57">
        <f t="shared" si="1"/>
        <v>51.313699653404214</v>
      </c>
    </row>
    <row r="58" spans="1:8" ht="12.75">
      <c r="A58">
        <v>140</v>
      </c>
      <c r="B58">
        <v>360</v>
      </c>
      <c r="C58" s="26">
        <f t="shared" si="5"/>
        <v>20</v>
      </c>
      <c r="D58">
        <f>G2</f>
        <v>2.7069</v>
      </c>
      <c r="E58">
        <f t="shared" si="4"/>
        <v>117.40761277706139</v>
      </c>
      <c r="F58">
        <f>(C58*0.5+SUM($D$55:D58))*E58</f>
        <v>2156.3727904505367</v>
      </c>
      <c r="G58">
        <f t="shared" si="2"/>
        <v>60.18369697721413</v>
      </c>
      <c r="H58">
        <f t="shared" si="1"/>
        <v>60.18369697721413</v>
      </c>
    </row>
    <row r="59" spans="1:8" ht="12.75">
      <c r="A59">
        <v>160</v>
      </c>
      <c r="B59">
        <v>360</v>
      </c>
      <c r="C59" s="26">
        <f t="shared" si="5"/>
        <v>40</v>
      </c>
      <c r="D59">
        <v>0</v>
      </c>
      <c r="E59">
        <f t="shared" si="4"/>
        <v>117.40761277706139</v>
      </c>
      <c r="F59">
        <f>(C59*0.5+SUM($D$55:D59))*E59</f>
        <v>3330.4489182211505</v>
      </c>
      <c r="G59">
        <f t="shared" si="2"/>
        <v>92.95179821408993</v>
      </c>
      <c r="H59">
        <f t="shared" si="1"/>
        <v>92.95179821408993</v>
      </c>
    </row>
    <row r="60" spans="1:8" ht="12.75">
      <c r="A60">
        <v>160</v>
      </c>
      <c r="B60">
        <v>360</v>
      </c>
      <c r="C60" s="26">
        <f t="shared" si="5"/>
        <v>40</v>
      </c>
      <c r="D60">
        <f>G2</f>
        <v>2.7069</v>
      </c>
      <c r="E60">
        <f t="shared" si="4"/>
        <v>117.40761277706139</v>
      </c>
      <c r="F60">
        <f>(C60*0.5+SUM($D$55:D60))*E60</f>
        <v>3648.2595852473783</v>
      </c>
      <c r="G60">
        <f t="shared" si="2"/>
        <v>101.82179553789986</v>
      </c>
      <c r="H60">
        <f t="shared" si="1"/>
        <v>101.82179553789986</v>
      </c>
    </row>
    <row r="61" spans="1:8" ht="12.75">
      <c r="A61">
        <v>180</v>
      </c>
      <c r="B61">
        <v>360</v>
      </c>
      <c r="C61" s="26">
        <f t="shared" si="5"/>
        <v>60</v>
      </c>
      <c r="D61">
        <v>0</v>
      </c>
      <c r="E61">
        <f t="shared" si="4"/>
        <v>117.40761277706139</v>
      </c>
      <c r="F61">
        <f>(C61*0.5+SUM($D$55:D61))*E61</f>
        <v>4822.335713017992</v>
      </c>
      <c r="G61">
        <f t="shared" si="2"/>
        <v>134.58989677477564</v>
      </c>
      <c r="H61">
        <f t="shared" si="1"/>
        <v>134.58989677477564</v>
      </c>
    </row>
    <row r="62" spans="1:8" ht="12.75">
      <c r="A62">
        <v>180</v>
      </c>
      <c r="B62">
        <v>360</v>
      </c>
      <c r="C62" s="26">
        <f t="shared" si="5"/>
        <v>60</v>
      </c>
      <c r="D62">
        <f>G2</f>
        <v>2.7069</v>
      </c>
      <c r="E62">
        <f t="shared" si="4"/>
        <v>117.40761277706139</v>
      </c>
      <c r="F62">
        <f>(C62*0.5+SUM($D$55:D62))*E62</f>
        <v>5140.14638004422</v>
      </c>
      <c r="G62">
        <f t="shared" si="2"/>
        <v>143.45989409858558</v>
      </c>
      <c r="H62">
        <f t="shared" si="1"/>
        <v>143.45989409858558</v>
      </c>
    </row>
    <row r="63" spans="1:8" ht="12.75">
      <c r="A63">
        <v>200</v>
      </c>
      <c r="B63">
        <v>360</v>
      </c>
      <c r="C63" s="26">
        <f t="shared" si="5"/>
        <v>80</v>
      </c>
      <c r="D63">
        <v>0</v>
      </c>
      <c r="E63">
        <f t="shared" si="4"/>
        <v>117.40761277706139</v>
      </c>
      <c r="F63">
        <f>(C63*0.5+SUM($D$55:D63))*E63</f>
        <v>6314.222507814833</v>
      </c>
      <c r="G63">
        <f t="shared" si="2"/>
        <v>176.22799533546134</v>
      </c>
      <c r="H63">
        <f t="shared" si="1"/>
        <v>176.22799533546134</v>
      </c>
    </row>
    <row r="64" spans="1:8" ht="12.75">
      <c r="A64">
        <v>200</v>
      </c>
      <c r="B64">
        <v>360</v>
      </c>
      <c r="C64" s="26">
        <f t="shared" si="5"/>
        <v>80</v>
      </c>
      <c r="D64">
        <f>G2</f>
        <v>2.7069</v>
      </c>
      <c r="E64">
        <f t="shared" si="4"/>
        <v>117.40761277706139</v>
      </c>
      <c r="F64">
        <f>(C64*0.5+SUM($D$55:D64))*E64</f>
        <v>6632.033174841061</v>
      </c>
      <c r="G64">
        <f t="shared" si="2"/>
        <v>185.09799265927128</v>
      </c>
      <c r="H64">
        <f t="shared" si="1"/>
        <v>185.09799265927128</v>
      </c>
    </row>
    <row r="65" spans="1:8" ht="12.75">
      <c r="A65">
        <v>220</v>
      </c>
      <c r="B65">
        <v>360</v>
      </c>
      <c r="C65" s="26">
        <f t="shared" si="5"/>
        <v>100</v>
      </c>
      <c r="D65">
        <v>0</v>
      </c>
      <c r="E65">
        <f t="shared" si="4"/>
        <v>117.40761277706139</v>
      </c>
      <c r="F65">
        <f>(C65*0.5+SUM($D$55:D65))*E65</f>
        <v>7806.109302611675</v>
      </c>
      <c r="G65">
        <f t="shared" si="2"/>
        <v>217.86609389614708</v>
      </c>
      <c r="H65">
        <f t="shared" si="1"/>
        <v>217.86609389614708</v>
      </c>
    </row>
    <row r="66" spans="1:8" ht="12.75">
      <c r="A66">
        <v>220</v>
      </c>
      <c r="B66">
        <v>360</v>
      </c>
      <c r="C66" s="26">
        <f t="shared" si="5"/>
        <v>100</v>
      </c>
      <c r="D66">
        <f>G2</f>
        <v>2.7069</v>
      </c>
      <c r="E66">
        <f t="shared" si="4"/>
        <v>117.40761277706139</v>
      </c>
      <c r="F66">
        <f>(C66*0.5+SUM($D$55:D66))*E66</f>
        <v>8123.919969637903</v>
      </c>
      <c r="G66">
        <f t="shared" si="2"/>
        <v>226.73609121995702</v>
      </c>
      <c r="H66">
        <f t="shared" si="1"/>
        <v>226.73609121995702</v>
      </c>
    </row>
    <row r="67" spans="1:8" ht="12.75">
      <c r="A67">
        <v>240</v>
      </c>
      <c r="B67">
        <v>360</v>
      </c>
      <c r="C67" s="26">
        <f t="shared" si="5"/>
        <v>120</v>
      </c>
      <c r="D67">
        <v>0</v>
      </c>
      <c r="E67">
        <f t="shared" si="4"/>
        <v>117.40761277706139</v>
      </c>
      <c r="F67">
        <f>(C67*0.5+SUM($D$55:D67))*E67</f>
        <v>9297.996097408517</v>
      </c>
      <c r="G67">
        <f t="shared" si="2"/>
        <v>259.5041924568328</v>
      </c>
      <c r="H67">
        <f t="shared" si="1"/>
        <v>259.5041924568328</v>
      </c>
    </row>
    <row r="68" spans="1:8" ht="12.75">
      <c r="A68">
        <v>240</v>
      </c>
      <c r="B68">
        <v>360</v>
      </c>
      <c r="C68" s="26">
        <f t="shared" si="5"/>
        <v>120</v>
      </c>
      <c r="D68">
        <f>E2</f>
        <v>5.65965</v>
      </c>
      <c r="E68">
        <f t="shared" si="4"/>
        <v>117.40761277706139</v>
      </c>
      <c r="F68">
        <f>(C68*0.5+SUM($D$55:D68))*E68</f>
        <v>9962.482093062212</v>
      </c>
      <c r="G68">
        <f t="shared" si="2"/>
        <v>278.04979087336125</v>
      </c>
      <c r="H68">
        <f t="shared" si="1"/>
        <v>278.04979087336125</v>
      </c>
    </row>
    <row r="69" spans="1:8" ht="12.75">
      <c r="A69">
        <v>260</v>
      </c>
      <c r="B69">
        <v>360</v>
      </c>
      <c r="C69" s="26">
        <f t="shared" si="5"/>
        <v>140</v>
      </c>
      <c r="D69">
        <v>0</v>
      </c>
      <c r="E69">
        <f t="shared" si="4"/>
        <v>117.40761277706139</v>
      </c>
      <c r="F69">
        <f>(C69*0.5+SUM($D$55:D69))*E69</f>
        <v>11136.558220832827</v>
      </c>
      <c r="G69">
        <f t="shared" si="2"/>
        <v>310.81789211023704</v>
      </c>
      <c r="H69">
        <f t="shared" si="1"/>
        <v>310.81789211023704</v>
      </c>
    </row>
    <row r="70" spans="1:8" ht="12.75">
      <c r="A70">
        <v>260</v>
      </c>
      <c r="B70">
        <v>360</v>
      </c>
      <c r="C70" s="26">
        <f t="shared" si="5"/>
        <v>140</v>
      </c>
      <c r="D70">
        <f>G2</f>
        <v>2.7069</v>
      </c>
      <c r="E70">
        <f t="shared" si="4"/>
        <v>117.40761277706139</v>
      </c>
      <c r="F70">
        <f>(C70*0.5+SUM($D$55:D70))*E70</f>
        <v>11454.368887859053</v>
      </c>
      <c r="G70">
        <f t="shared" si="2"/>
        <v>319.68788943404695</v>
      </c>
      <c r="H70">
        <f t="shared" si="1"/>
        <v>319.68788943404695</v>
      </c>
    </row>
    <row r="71" spans="1:8" ht="12.75">
      <c r="A71">
        <v>280</v>
      </c>
      <c r="B71">
        <v>360</v>
      </c>
      <c r="C71" s="26">
        <f t="shared" si="5"/>
        <v>160</v>
      </c>
      <c r="D71">
        <v>0</v>
      </c>
      <c r="E71">
        <f t="shared" si="4"/>
        <v>117.40761277706139</v>
      </c>
      <c r="F71">
        <f>(C71*0.5+SUM($D$55:D71))*E71</f>
        <v>12628.445015629666</v>
      </c>
      <c r="G71">
        <f t="shared" si="2"/>
        <v>352.4559906709227</v>
      </c>
      <c r="H71">
        <f aca="true" t="shared" si="6" ref="H71:H134">ABS(G71)</f>
        <v>352.4559906709227</v>
      </c>
    </row>
    <row r="72" spans="1:8" ht="12.75">
      <c r="A72">
        <v>280</v>
      </c>
      <c r="B72">
        <v>360</v>
      </c>
      <c r="C72" s="26">
        <f t="shared" si="5"/>
        <v>160</v>
      </c>
      <c r="D72">
        <f>G2</f>
        <v>2.7069</v>
      </c>
      <c r="E72">
        <f t="shared" si="4"/>
        <v>117.40761277706139</v>
      </c>
      <c r="F72">
        <f>(C72*0.5+SUM($D$55:D72))*E72</f>
        <v>12946.255682655894</v>
      </c>
      <c r="G72">
        <f t="shared" si="2"/>
        <v>361.32598799473266</v>
      </c>
      <c r="H72">
        <f t="shared" si="6"/>
        <v>361.32598799473266</v>
      </c>
    </row>
    <row r="73" spans="1:8" ht="12.75">
      <c r="A73">
        <v>300</v>
      </c>
      <c r="B73">
        <v>360</v>
      </c>
      <c r="C73" s="26">
        <f t="shared" si="5"/>
        <v>180</v>
      </c>
      <c r="D73">
        <v>0</v>
      </c>
      <c r="E73">
        <f t="shared" si="4"/>
        <v>117.40761277706139</v>
      </c>
      <c r="F73">
        <f>(C73*0.5+SUM($D$55:D73))*E73</f>
        <v>14120.331810426509</v>
      </c>
      <c r="G73">
        <f aca="true" t="shared" si="7" ref="G73:G136">F73*$I$2/$K$2/$B$2</f>
        <v>394.09408923160845</v>
      </c>
      <c r="H73">
        <f t="shared" si="6"/>
        <v>394.09408923160845</v>
      </c>
    </row>
    <row r="74" spans="1:8" ht="12.75">
      <c r="A74">
        <v>300</v>
      </c>
      <c r="B74">
        <v>360</v>
      </c>
      <c r="C74" s="26">
        <f t="shared" si="5"/>
        <v>180</v>
      </c>
      <c r="D74">
        <f>G2</f>
        <v>2.7069</v>
      </c>
      <c r="E74">
        <f t="shared" si="4"/>
        <v>117.40761277706139</v>
      </c>
      <c r="F74">
        <f>(C74*0.5+SUM($D$55:D74))*E74</f>
        <v>14438.142477452737</v>
      </c>
      <c r="G74">
        <f t="shared" si="7"/>
        <v>402.9640865554184</v>
      </c>
      <c r="H74">
        <f t="shared" si="6"/>
        <v>402.9640865554184</v>
      </c>
    </row>
    <row r="75" spans="1:8" ht="12.75">
      <c r="A75">
        <v>320</v>
      </c>
      <c r="B75">
        <v>360</v>
      </c>
      <c r="C75" s="26">
        <f t="shared" si="5"/>
        <v>200</v>
      </c>
      <c r="D75">
        <v>0</v>
      </c>
      <c r="E75">
        <f t="shared" si="4"/>
        <v>117.40761277706139</v>
      </c>
      <c r="F75">
        <f>(C75*0.5+SUM($D$55:D75))*E75</f>
        <v>15612.21860522335</v>
      </c>
      <c r="G75">
        <f t="shared" si="7"/>
        <v>435.73218779229416</v>
      </c>
      <c r="H75">
        <f t="shared" si="6"/>
        <v>435.73218779229416</v>
      </c>
    </row>
    <row r="76" spans="1:8" ht="12.75">
      <c r="A76">
        <v>320</v>
      </c>
      <c r="B76">
        <v>360</v>
      </c>
      <c r="C76" s="26">
        <f t="shared" si="5"/>
        <v>200</v>
      </c>
      <c r="D76">
        <f>G2</f>
        <v>2.7069</v>
      </c>
      <c r="E76">
        <f t="shared" si="4"/>
        <v>117.40761277706139</v>
      </c>
      <c r="F76">
        <f>(C76*0.5+SUM($D$55:D76))*E76</f>
        <v>15930.029272249576</v>
      </c>
      <c r="G76">
        <f t="shared" si="7"/>
        <v>444.60218511610407</v>
      </c>
      <c r="H76">
        <f t="shared" si="6"/>
        <v>444.60218511610407</v>
      </c>
    </row>
    <row r="77" spans="1:8" ht="12.75">
      <c r="A77">
        <v>340</v>
      </c>
      <c r="B77">
        <v>360</v>
      </c>
      <c r="C77" s="26">
        <f t="shared" si="5"/>
        <v>220</v>
      </c>
      <c r="D77">
        <v>0</v>
      </c>
      <c r="E77">
        <f t="shared" si="4"/>
        <v>117.40761277706139</v>
      </c>
      <c r="F77">
        <f>(C77*0.5+SUM($D$55:D77))*E77</f>
        <v>17104.10540002019</v>
      </c>
      <c r="G77">
        <f t="shared" si="7"/>
        <v>477.37028635297986</v>
      </c>
      <c r="H77">
        <f t="shared" si="6"/>
        <v>477.37028635297986</v>
      </c>
    </row>
    <row r="78" spans="1:8" ht="12.75">
      <c r="A78">
        <v>340</v>
      </c>
      <c r="B78">
        <v>360</v>
      </c>
      <c r="C78" s="26">
        <f t="shared" si="5"/>
        <v>220</v>
      </c>
      <c r="D78">
        <f>G2</f>
        <v>2.7069</v>
      </c>
      <c r="E78">
        <f t="shared" si="4"/>
        <v>117.40761277706139</v>
      </c>
      <c r="F78">
        <f>(C78*0.5+SUM($D$55:D78))*E78</f>
        <v>17421.91606704642</v>
      </c>
      <c r="G78">
        <f t="shared" si="7"/>
        <v>486.2402836767898</v>
      </c>
      <c r="H78">
        <f t="shared" si="6"/>
        <v>486.2402836767898</v>
      </c>
    </row>
    <row r="79" spans="1:8" ht="12.75">
      <c r="A79">
        <v>360</v>
      </c>
      <c r="B79">
        <v>360</v>
      </c>
      <c r="C79" s="26">
        <f t="shared" si="5"/>
        <v>240</v>
      </c>
      <c r="D79">
        <v>0</v>
      </c>
      <c r="E79">
        <f t="shared" si="4"/>
        <v>117.40761277706139</v>
      </c>
      <c r="F79">
        <f>(C79*0.5+SUM($D$55:D79))*E79</f>
        <v>18595.992194817034</v>
      </c>
      <c r="G79">
        <f t="shared" si="7"/>
        <v>519.0083849136656</v>
      </c>
      <c r="H79">
        <f t="shared" si="6"/>
        <v>519.0083849136656</v>
      </c>
    </row>
    <row r="80" spans="1:9" ht="12.75">
      <c r="A80">
        <v>360</v>
      </c>
      <c r="B80">
        <v>360</v>
      </c>
      <c r="C80" s="26">
        <v>120</v>
      </c>
      <c r="D80">
        <f>D54</f>
        <v>0</v>
      </c>
      <c r="F80">
        <f>$F$42+$F$79+((480-$M$2)*C80-C80^2/2+$D$45*($B$45-$M$2)+$D$47*($B$47-$M$2)+$D$49*($B$49-$M$2)+$D$51*($B$51-$M$2)+$D$53*($B$53-$M$2))*0.5</f>
        <v>86189.76273590498</v>
      </c>
      <c r="G80">
        <f t="shared" si="7"/>
        <v>2405.5295939585235</v>
      </c>
      <c r="H80">
        <f t="shared" si="6"/>
        <v>2405.5295939585235</v>
      </c>
      <c r="I80" t="s">
        <v>101</v>
      </c>
    </row>
    <row r="81" spans="1:8" ht="12.75">
      <c r="A81">
        <v>360</v>
      </c>
      <c r="B81">
        <v>340</v>
      </c>
      <c r="C81">
        <v>140</v>
      </c>
      <c r="D81">
        <v>0</v>
      </c>
      <c r="E81">
        <f>$B$42-($B$42-B81)/2-$M$2</f>
        <v>167.6576127770614</v>
      </c>
      <c r="F81">
        <f>$F$42+$F$79+((480-$M$2)*C81-C81^2/2+$D$45*($B$45-$M$2)+$D$47*($B$47-$M$2)+$D$49*($B$49-$M$2)+$D$51*($B$51-$M$2)+$D$53*($B$53-$M$2))*0.5</f>
        <v>87266.3388636756</v>
      </c>
      <c r="G81">
        <f t="shared" si="7"/>
        <v>2435.5765003810034</v>
      </c>
      <c r="H81">
        <f t="shared" si="6"/>
        <v>2435.5765003810034</v>
      </c>
    </row>
    <row r="82" spans="1:8" ht="12.75">
      <c r="A82">
        <v>360</v>
      </c>
      <c r="B82">
        <v>340</v>
      </c>
      <c r="C82">
        <v>140</v>
      </c>
      <c r="D82">
        <f>G2</f>
        <v>2.7069</v>
      </c>
      <c r="E82">
        <f aca="true" t="shared" si="8" ref="E82:E90">$B$42-($B$42-B82)/2-$M$2</f>
        <v>167.6576127770614</v>
      </c>
      <c r="F82">
        <f>$F$42+$F$79+((480-$M$2)*C82-C82^2/2+$D$45*($B$45-$M$2)+$D$47*($B$47-$M$2)+$D$49*($B$49-$M$2)+$D$51*($B$51-$M$2)+$D$53*($B$53-$M$2)+$D$82*($B$82-$M$2))*0.5</f>
        <v>87398.51355968871</v>
      </c>
      <c r="G82">
        <f t="shared" si="7"/>
        <v>2439.26545522598</v>
      </c>
      <c r="H82">
        <f t="shared" si="6"/>
        <v>2439.26545522598</v>
      </c>
    </row>
    <row r="83" spans="1:8" ht="12.75">
      <c r="A83">
        <v>360</v>
      </c>
      <c r="B83">
        <v>320</v>
      </c>
      <c r="C83">
        <v>160</v>
      </c>
      <c r="D83">
        <v>0</v>
      </c>
      <c r="E83">
        <f t="shared" si="8"/>
        <v>157.6576127770614</v>
      </c>
      <c r="F83">
        <f>$F$42+$F$79+((480-$M$2)*C83-C83^2/2+$D$45*($B$45-$M$2)+$D$47*($B$47-$M$2)+$D$49*($B$49-$M$2)+$D$51*($B$51-$M$2)+$D$53*($B$53-$M$2)+$D$82*($B$82-$M$2))*0.5</f>
        <v>88275.08968745932</v>
      </c>
      <c r="G83">
        <f t="shared" si="7"/>
        <v>2463.730423567648</v>
      </c>
      <c r="H83">
        <f t="shared" si="6"/>
        <v>2463.730423567648</v>
      </c>
    </row>
    <row r="84" spans="1:8" ht="12.75">
      <c r="A84">
        <v>360</v>
      </c>
      <c r="B84">
        <v>320</v>
      </c>
      <c r="C84">
        <v>160</v>
      </c>
      <c r="D84">
        <f>G2</f>
        <v>2.7069</v>
      </c>
      <c r="E84">
        <f t="shared" si="8"/>
        <v>157.6576127770614</v>
      </c>
      <c r="F84">
        <f>$F$42+$F$79+((480-$M$2)*C84-C84^2/2+$D$45*($B$45-$M$2)+$D$47*($B$47-$M$2)+$D$49*($B$49-$M$2)+$D$51*($B$51-$M$2)+$D$53*($B$53-$M$2)+$D$82*($B$82-$M$2)+$D$84*($B$84-$M$2))*0.5</f>
        <v>88380.19538347243</v>
      </c>
      <c r="G84">
        <f t="shared" si="7"/>
        <v>2466.663891003077</v>
      </c>
      <c r="H84">
        <f t="shared" si="6"/>
        <v>2466.663891003077</v>
      </c>
    </row>
    <row r="85" spans="1:8" ht="12.75">
      <c r="A85">
        <v>360</v>
      </c>
      <c r="B85">
        <v>300</v>
      </c>
      <c r="C85">
        <v>180</v>
      </c>
      <c r="D85">
        <v>0</v>
      </c>
      <c r="E85">
        <f t="shared" si="8"/>
        <v>147.6576127770614</v>
      </c>
      <c r="F85">
        <f>$F$42+$F$79+((480-$M$2)*C85-C85^2/2+$D$45*($B$45-$M$2)+$D$47*($B$47-$M$2)+$D$49*($B$49-$M$2)+$D$51*($B$51-$M$2)+$D$53*($B$53-$M$2)+$D$82*($B$82-$M$2)+$D$84*($B$84-$M$2))*0.5</f>
        <v>89056.77151124305</v>
      </c>
      <c r="G85">
        <f t="shared" si="7"/>
        <v>2485.5469212639327</v>
      </c>
      <c r="H85">
        <f t="shared" si="6"/>
        <v>2485.5469212639327</v>
      </c>
    </row>
    <row r="86" spans="1:8" ht="12.75">
      <c r="A86">
        <v>360</v>
      </c>
      <c r="B86">
        <v>300</v>
      </c>
      <c r="C86">
        <v>180</v>
      </c>
      <c r="D86">
        <f>G2</f>
        <v>2.7069</v>
      </c>
      <c r="E86">
        <f t="shared" si="8"/>
        <v>147.6576127770614</v>
      </c>
      <c r="F86">
        <f>$F$42+$F$79+((480-$M$2)*C86-C86^2/2+$D$45*($B$45-$M$2)+$D$47*($B$47-$M$2)+$D$49*($B$49-$M$2)+$D$51*($B$51-$M$2)+$D$53*($B$53-$M$2)+$D$82*($B$82-$M$2)+$D$84*($B$84-$M$2)+$D$86*($B$86-$M$2))*0.5</f>
        <v>89134.80820725617</v>
      </c>
      <c r="G86">
        <f t="shared" si="7"/>
        <v>2487.724901289815</v>
      </c>
      <c r="H86">
        <f t="shared" si="6"/>
        <v>2487.724901289815</v>
      </c>
    </row>
    <row r="87" spans="1:8" ht="12.75">
      <c r="A87">
        <v>360</v>
      </c>
      <c r="B87">
        <v>280</v>
      </c>
      <c r="C87">
        <v>200</v>
      </c>
      <c r="D87">
        <v>0</v>
      </c>
      <c r="E87">
        <f t="shared" si="8"/>
        <v>137.6576127770614</v>
      </c>
      <c r="F87">
        <f>$F$42+$F$79+((480-$M$2)*C87-C87^2/2+$D$45*($B$45-$M$2)+$D$47*($B$47-$M$2)+$D$49*($B$49-$M$2)+$D$51*($B$51-$M$2)+$D$53*($B$53-$M$2)+$D$82*($B$82-$M$2)+$D$84*($B$84-$M$2)+$D$86*($B$86-$M$2))*0.5</f>
        <v>89611.38433502677</v>
      </c>
      <c r="G87">
        <f t="shared" si="7"/>
        <v>2501.0259934698583</v>
      </c>
      <c r="H87">
        <f t="shared" si="6"/>
        <v>2501.0259934698583</v>
      </c>
    </row>
    <row r="88" spans="1:8" ht="12.75">
      <c r="A88">
        <v>360</v>
      </c>
      <c r="B88">
        <v>280</v>
      </c>
      <c r="C88">
        <v>200</v>
      </c>
      <c r="D88">
        <f>G2</f>
        <v>2.7069</v>
      </c>
      <c r="E88">
        <f t="shared" si="8"/>
        <v>137.6576127770614</v>
      </c>
      <c r="F88">
        <f>$F$42+$F$79+((480-$M$2)*C88-C88^2/2+$D$45*($B$45-$M$2)+$D$47*($B$47-$M$2)+$D$49*($B$49-$M$2)+$D$51*($B$51-$M$2)+$D$53*($B$53-$M$2)+$D$82*($B$82-$M$2)+$D$84*($B$84-$M$2)+$D$86*($B$86-$M$2)+$D$88*($B$88-$M$2))*0.5</f>
        <v>89662.35203103989</v>
      </c>
      <c r="G88">
        <f t="shared" si="7"/>
        <v>2502.4484860861926</v>
      </c>
      <c r="H88">
        <f t="shared" si="6"/>
        <v>2502.4484860861926</v>
      </c>
    </row>
    <row r="89" spans="1:8" ht="12.75">
      <c r="A89">
        <v>360</v>
      </c>
      <c r="B89">
        <v>260</v>
      </c>
      <c r="C89">
        <v>220</v>
      </c>
      <c r="D89">
        <v>0</v>
      </c>
      <c r="E89">
        <f t="shared" si="8"/>
        <v>127.65761277706139</v>
      </c>
      <c r="F89">
        <f>$F$42+$F$79+((480-$M$2)*C89-C89^2/2+$D$45*($B$45-$M$2)+$D$47*($B$47-$M$2)+$D$49*($B$49-$M$2)+$D$51*($B$51-$M$2)+$D$53*($B$53-$M$2)+$D$82*($B$82-$M$2)+$D$84*($B$84-$M$2)+$D$86*($B$86-$M$2)+$D$88*($B$88-$M$2))*0.5</f>
        <v>89938.92815881051</v>
      </c>
      <c r="G89">
        <f t="shared" si="7"/>
        <v>2510.1676401854247</v>
      </c>
      <c r="H89">
        <f t="shared" si="6"/>
        <v>2510.1676401854247</v>
      </c>
    </row>
    <row r="90" spans="1:8" ht="12.75">
      <c r="A90">
        <v>360</v>
      </c>
      <c r="B90">
        <v>260</v>
      </c>
      <c r="C90">
        <v>220</v>
      </c>
      <c r="D90">
        <f>G2</f>
        <v>2.7069</v>
      </c>
      <c r="E90">
        <f t="shared" si="8"/>
        <v>127.65761277706139</v>
      </c>
      <c r="F90">
        <f>$F$42+$F$79+((480-$M$2)*C90-C90^2/2+$D$45*($B$45-$M$2)+$D$47*($B$47-$M$2)+$D$49*($B$49-$M$2)+$D$51*($B$51-$M$2)+$D$53*($B$53-$M$2)+$D$82*($B$82-$M$2)+$D$84*($B$84-$M$2)+$D$86*($B$86-$M$2)+$D$88*($B$88-$M$2)+$D$90*($B$90-$M$2))*0.5</f>
        <v>89962.82685482362</v>
      </c>
      <c r="G90">
        <f t="shared" si="7"/>
        <v>2510.8346453922113</v>
      </c>
      <c r="H90">
        <f t="shared" si="6"/>
        <v>2510.8346453922113</v>
      </c>
    </row>
    <row r="91" spans="1:8" ht="12.75">
      <c r="A91">
        <v>360</v>
      </c>
      <c r="B91">
        <v>240</v>
      </c>
      <c r="C91">
        <v>240</v>
      </c>
      <c r="D91">
        <v>0</v>
      </c>
      <c r="F91">
        <f>$F$42+$F$79+((480-$M$2)*C91-C91^2/2+$D$45*($B$45-$M$2)+$D$47*($B$47-$M$2)+$D$49*($B$49-$M$2)+$D$51*($B$51-$M$2)+$D$53*($B$53-$M$2)+$D$82*($B$82-$M$2)+$D$84*($B$84-$M$2)+$D$86*($B$86-$M$2)+$D$88*($B$88-$M$2)+$D$90*($B$90-$M$2))*0.5</f>
        <v>90039.40298259423</v>
      </c>
      <c r="G91">
        <f t="shared" si="7"/>
        <v>2512.9718614106305</v>
      </c>
      <c r="H91">
        <f t="shared" si="6"/>
        <v>2512.9718614106305</v>
      </c>
    </row>
    <row r="92" spans="1:9" ht="12.75">
      <c r="A92">
        <v>120</v>
      </c>
      <c r="B92">
        <v>240</v>
      </c>
      <c r="C92">
        <v>0</v>
      </c>
      <c r="D92">
        <v>0</v>
      </c>
      <c r="E92">
        <v>0</v>
      </c>
      <c r="F92">
        <f>(C92*0.5+D92)*E92</f>
        <v>0</v>
      </c>
      <c r="G92">
        <f t="shared" si="7"/>
        <v>0</v>
      </c>
      <c r="H92">
        <f t="shared" si="6"/>
        <v>0</v>
      </c>
      <c r="I92" t="s">
        <v>102</v>
      </c>
    </row>
    <row r="93" spans="1:8" ht="12.75">
      <c r="A93">
        <v>120</v>
      </c>
      <c r="B93">
        <v>240</v>
      </c>
      <c r="C93">
        <v>0</v>
      </c>
      <c r="D93">
        <f>E2</f>
        <v>5.65965</v>
      </c>
      <c r="E93">
        <f>B93+0.25-$M$2</f>
        <v>-2.092387222938612</v>
      </c>
      <c r="F93">
        <f>(C93*0.5+D93)*E93</f>
        <v>-11.842179346304516</v>
      </c>
      <c r="G93">
        <f t="shared" si="7"/>
        <v>-0.3305115592647165</v>
      </c>
      <c r="H93">
        <f t="shared" si="6"/>
        <v>0.3305115592647165</v>
      </c>
    </row>
    <row r="94" spans="1:8" ht="12.75">
      <c r="A94">
        <v>140</v>
      </c>
      <c r="B94">
        <v>240</v>
      </c>
      <c r="C94">
        <v>20</v>
      </c>
      <c r="D94">
        <v>0</v>
      </c>
      <c r="E94">
        <f aca="true" t="shared" si="9" ref="E94:E116">B94+0.25-$M$2</f>
        <v>-2.092387222938612</v>
      </c>
      <c r="F94">
        <f>(C94*0.5+SUM($D$92:D94))*E94</f>
        <v>-32.76605157569063</v>
      </c>
      <c r="G94">
        <f t="shared" si="7"/>
        <v>-0.9144903552409984</v>
      </c>
      <c r="H94">
        <f t="shared" si="6"/>
        <v>0.9144903552409984</v>
      </c>
    </row>
    <row r="95" spans="1:8" ht="12.75">
      <c r="A95">
        <v>140</v>
      </c>
      <c r="B95">
        <v>240</v>
      </c>
      <c r="C95">
        <v>20</v>
      </c>
      <c r="D95">
        <f>G2</f>
        <v>2.7069</v>
      </c>
      <c r="E95">
        <f t="shared" si="9"/>
        <v>-2.092387222938612</v>
      </c>
      <c r="F95">
        <f>(C95*0.5+SUM($D$92:D95))*E95</f>
        <v>-38.42993454946316</v>
      </c>
      <c r="G95">
        <f t="shared" si="7"/>
        <v>-1.0725675755238184</v>
      </c>
      <c r="H95">
        <f t="shared" si="6"/>
        <v>1.0725675755238184</v>
      </c>
    </row>
    <row r="96" spans="1:8" ht="12.75">
      <c r="A96">
        <v>160</v>
      </c>
      <c r="B96">
        <v>240</v>
      </c>
      <c r="C96">
        <f>C94+20</f>
        <v>40</v>
      </c>
      <c r="D96">
        <v>0</v>
      </c>
      <c r="E96">
        <f t="shared" si="9"/>
        <v>-2.092387222938612</v>
      </c>
      <c r="F96">
        <f>(C96*0.5+SUM($D$92:D96))*E96</f>
        <v>-59.35380677884928</v>
      </c>
      <c r="G96">
        <f t="shared" si="7"/>
        <v>-1.6565463715001003</v>
      </c>
      <c r="H96">
        <f t="shared" si="6"/>
        <v>1.6565463715001003</v>
      </c>
    </row>
    <row r="97" spans="1:8" ht="12.75">
      <c r="A97">
        <v>160</v>
      </c>
      <c r="B97">
        <v>240</v>
      </c>
      <c r="C97">
        <f>C95+20</f>
        <v>40</v>
      </c>
      <c r="D97">
        <f>G2</f>
        <v>2.7069</v>
      </c>
      <c r="E97">
        <f t="shared" si="9"/>
        <v>-2.092387222938612</v>
      </c>
      <c r="F97">
        <f>(C97*0.5+SUM($D$92:D97))*E97</f>
        <v>-65.01768975262182</v>
      </c>
      <c r="G97">
        <f t="shared" si="7"/>
        <v>-1.8146235917829205</v>
      </c>
      <c r="H97">
        <f t="shared" si="6"/>
        <v>1.8146235917829205</v>
      </c>
    </row>
    <row r="98" spans="1:8" ht="12.75">
      <c r="A98">
        <v>180</v>
      </c>
      <c r="B98">
        <v>240</v>
      </c>
      <c r="C98">
        <f aca="true" t="shared" si="10" ref="C98:C116">C96+20</f>
        <v>60</v>
      </c>
      <c r="D98">
        <v>0</v>
      </c>
      <c r="E98">
        <f t="shared" si="9"/>
        <v>-2.092387222938612</v>
      </c>
      <c r="F98">
        <f>(C98*0.5+SUM($D$92:D98))*E98</f>
        <v>-85.94156198200794</v>
      </c>
      <c r="G98">
        <f t="shared" si="7"/>
        <v>-2.3986023877592024</v>
      </c>
      <c r="H98">
        <f t="shared" si="6"/>
        <v>2.3986023877592024</v>
      </c>
    </row>
    <row r="99" spans="1:8" ht="12.75">
      <c r="A99">
        <v>180</v>
      </c>
      <c r="B99">
        <v>240</v>
      </c>
      <c r="C99">
        <f t="shared" si="10"/>
        <v>60</v>
      </c>
      <c r="D99">
        <f>G2</f>
        <v>2.7069</v>
      </c>
      <c r="E99">
        <f t="shared" si="9"/>
        <v>-2.092387222938612</v>
      </c>
      <c r="F99">
        <f>(C99*0.5+SUM($D$92:D99))*E99</f>
        <v>-91.60544495578046</v>
      </c>
      <c r="G99">
        <f t="shared" si="7"/>
        <v>-2.556679608042022</v>
      </c>
      <c r="H99">
        <f t="shared" si="6"/>
        <v>2.556679608042022</v>
      </c>
    </row>
    <row r="100" spans="1:8" ht="12.75">
      <c r="A100">
        <v>200</v>
      </c>
      <c r="B100">
        <v>240</v>
      </c>
      <c r="C100">
        <f t="shared" si="10"/>
        <v>80</v>
      </c>
      <c r="D100">
        <v>0</v>
      </c>
      <c r="E100">
        <f t="shared" si="9"/>
        <v>-2.092387222938612</v>
      </c>
      <c r="F100">
        <f>(C100*0.5+SUM($D$92:D100))*E100</f>
        <v>-112.52931718516658</v>
      </c>
      <c r="G100">
        <f t="shared" si="7"/>
        <v>-3.140658404018304</v>
      </c>
      <c r="H100">
        <f t="shared" si="6"/>
        <v>3.140658404018304</v>
      </c>
    </row>
    <row r="101" spans="1:8" ht="12.75">
      <c r="A101">
        <v>200</v>
      </c>
      <c r="B101">
        <v>240</v>
      </c>
      <c r="C101">
        <f t="shared" si="10"/>
        <v>80</v>
      </c>
      <c r="D101">
        <f>G2</f>
        <v>2.7069</v>
      </c>
      <c r="E101">
        <f t="shared" si="9"/>
        <v>-2.092387222938612</v>
      </c>
      <c r="F101">
        <f>(C101*0.5+SUM($D$92:D101))*E101</f>
        <v>-118.19320015893912</v>
      </c>
      <c r="G101">
        <f t="shared" si="7"/>
        <v>-3.2987356243011243</v>
      </c>
      <c r="H101">
        <f t="shared" si="6"/>
        <v>3.2987356243011243</v>
      </c>
    </row>
    <row r="102" spans="1:8" ht="12.75">
      <c r="A102">
        <v>220</v>
      </c>
      <c r="B102">
        <v>240</v>
      </c>
      <c r="C102">
        <f t="shared" si="10"/>
        <v>100</v>
      </c>
      <c r="D102">
        <v>0</v>
      </c>
      <c r="E102">
        <f t="shared" si="9"/>
        <v>-2.092387222938612</v>
      </c>
      <c r="F102">
        <f>(C102*0.5+SUM($D$92:D102))*E102</f>
        <v>-139.11707238832523</v>
      </c>
      <c r="G102">
        <f t="shared" si="7"/>
        <v>-3.8827144202774058</v>
      </c>
      <c r="H102">
        <f t="shared" si="6"/>
        <v>3.8827144202774058</v>
      </c>
    </row>
    <row r="103" spans="1:8" ht="12.75">
      <c r="A103">
        <v>220</v>
      </c>
      <c r="B103">
        <v>240</v>
      </c>
      <c r="C103">
        <f t="shared" si="10"/>
        <v>100</v>
      </c>
      <c r="D103">
        <f>G2</f>
        <v>2.7069</v>
      </c>
      <c r="E103">
        <f t="shared" si="9"/>
        <v>-2.092387222938612</v>
      </c>
      <c r="F103">
        <f>(C103*0.5+SUM($D$92:D103))*E103</f>
        <v>-144.78095536209779</v>
      </c>
      <c r="G103">
        <f t="shared" si="7"/>
        <v>-4.040791640560226</v>
      </c>
      <c r="H103">
        <f t="shared" si="6"/>
        <v>4.040791640560226</v>
      </c>
    </row>
    <row r="104" spans="1:8" ht="12.75">
      <c r="A104">
        <v>240</v>
      </c>
      <c r="B104">
        <v>240</v>
      </c>
      <c r="C104">
        <f t="shared" si="10"/>
        <v>120</v>
      </c>
      <c r="D104">
        <v>0</v>
      </c>
      <c r="E104">
        <f t="shared" si="9"/>
        <v>-2.092387222938612</v>
      </c>
      <c r="F104">
        <f>(C104*0.5+SUM($D$92:D104))*E104</f>
        <v>-165.7048275914839</v>
      </c>
      <c r="G104">
        <f t="shared" si="7"/>
        <v>-4.624770436536509</v>
      </c>
      <c r="H104">
        <f t="shared" si="6"/>
        <v>4.624770436536509</v>
      </c>
    </row>
    <row r="105" spans="1:8" ht="12.75">
      <c r="A105">
        <v>240</v>
      </c>
      <c r="B105">
        <v>240</v>
      </c>
      <c r="C105">
        <f t="shared" si="10"/>
        <v>120</v>
      </c>
      <c r="D105">
        <f>E2</f>
        <v>5.65965</v>
      </c>
      <c r="E105">
        <f t="shared" si="9"/>
        <v>-2.092387222938612</v>
      </c>
      <c r="F105">
        <f>(C105*0.5+SUM($D$92:D105))*E105</f>
        <v>-177.5470069377884</v>
      </c>
      <c r="G105">
        <f t="shared" si="7"/>
        <v>-4.955281995801225</v>
      </c>
      <c r="H105">
        <f t="shared" si="6"/>
        <v>4.955281995801225</v>
      </c>
    </row>
    <row r="106" spans="1:8" ht="12.75">
      <c r="A106">
        <v>260</v>
      </c>
      <c r="B106">
        <v>240</v>
      </c>
      <c r="C106">
        <f t="shared" si="10"/>
        <v>140</v>
      </c>
      <c r="D106">
        <v>0</v>
      </c>
      <c r="E106">
        <f t="shared" si="9"/>
        <v>-2.092387222938612</v>
      </c>
      <c r="F106">
        <f>(C106*0.5+SUM($D$92:D106))*E106</f>
        <v>-198.47087916717453</v>
      </c>
      <c r="G106">
        <f t="shared" si="7"/>
        <v>-5.539260791777506</v>
      </c>
      <c r="H106">
        <f t="shared" si="6"/>
        <v>5.539260791777506</v>
      </c>
    </row>
    <row r="107" spans="1:8" ht="12.75">
      <c r="A107">
        <v>260</v>
      </c>
      <c r="B107">
        <v>240</v>
      </c>
      <c r="C107">
        <f t="shared" si="10"/>
        <v>140</v>
      </c>
      <c r="D107">
        <f>G2</f>
        <v>2.7069</v>
      </c>
      <c r="E107">
        <f t="shared" si="9"/>
        <v>-2.092387222938612</v>
      </c>
      <c r="F107">
        <f>(C107*0.5+SUM($D$92:D107))*E107</f>
        <v>-204.13476214094703</v>
      </c>
      <c r="G107">
        <f t="shared" si="7"/>
        <v>-5.697338012060326</v>
      </c>
      <c r="H107">
        <f t="shared" si="6"/>
        <v>5.697338012060326</v>
      </c>
    </row>
    <row r="108" spans="1:8" ht="12.75">
      <c r="A108">
        <v>280</v>
      </c>
      <c r="B108">
        <v>240</v>
      </c>
      <c r="C108">
        <f t="shared" si="10"/>
        <v>160</v>
      </c>
      <c r="D108">
        <v>0</v>
      </c>
      <c r="E108">
        <f t="shared" si="9"/>
        <v>-2.092387222938612</v>
      </c>
      <c r="F108">
        <f>(C108*0.5+SUM($D$92:D108))*E108</f>
        <v>-225.05863437033315</v>
      </c>
      <c r="G108">
        <f t="shared" si="7"/>
        <v>-6.281316808036608</v>
      </c>
      <c r="H108">
        <f t="shared" si="6"/>
        <v>6.281316808036608</v>
      </c>
    </row>
    <row r="109" spans="1:8" ht="12.75">
      <c r="A109">
        <v>280</v>
      </c>
      <c r="B109">
        <v>240</v>
      </c>
      <c r="C109">
        <f t="shared" si="10"/>
        <v>160</v>
      </c>
      <c r="D109">
        <f>G2</f>
        <v>2.7069</v>
      </c>
      <c r="E109">
        <f t="shared" si="9"/>
        <v>-2.092387222938612</v>
      </c>
      <c r="F109">
        <f>(C109*0.5+SUM($D$92:D109))*E109</f>
        <v>-230.7225173441057</v>
      </c>
      <c r="G109">
        <f t="shared" si="7"/>
        <v>-6.439394028319429</v>
      </c>
      <c r="H109">
        <f t="shared" si="6"/>
        <v>6.439394028319429</v>
      </c>
    </row>
    <row r="110" spans="1:8" ht="12.75">
      <c r="A110">
        <v>300</v>
      </c>
      <c r="B110">
        <v>240</v>
      </c>
      <c r="C110">
        <f t="shared" si="10"/>
        <v>180</v>
      </c>
      <c r="D110">
        <v>0</v>
      </c>
      <c r="E110">
        <f t="shared" si="9"/>
        <v>-2.092387222938612</v>
      </c>
      <c r="F110">
        <f>(C110*0.5+SUM($D$92:D110))*E110</f>
        <v>-251.64638957349183</v>
      </c>
      <c r="G110">
        <f t="shared" si="7"/>
        <v>-7.023372824295711</v>
      </c>
      <c r="H110">
        <f t="shared" si="6"/>
        <v>7.023372824295711</v>
      </c>
    </row>
    <row r="111" spans="1:8" ht="12.75">
      <c r="A111">
        <v>300</v>
      </c>
      <c r="B111">
        <v>240</v>
      </c>
      <c r="C111">
        <f t="shared" si="10"/>
        <v>180</v>
      </c>
      <c r="D111">
        <f>G2</f>
        <v>2.7069</v>
      </c>
      <c r="E111">
        <f t="shared" si="9"/>
        <v>-2.092387222938612</v>
      </c>
      <c r="F111">
        <f>(C111*0.5+SUM($D$92:D111))*E111</f>
        <v>-257.31027254726433</v>
      </c>
      <c r="G111">
        <f t="shared" si="7"/>
        <v>-7.18145004457853</v>
      </c>
      <c r="H111">
        <f t="shared" si="6"/>
        <v>7.18145004457853</v>
      </c>
    </row>
    <row r="112" spans="1:8" ht="12.75">
      <c r="A112">
        <v>320</v>
      </c>
      <c r="B112">
        <v>240</v>
      </c>
      <c r="C112">
        <f t="shared" si="10"/>
        <v>200</v>
      </c>
      <c r="D112">
        <v>0</v>
      </c>
      <c r="E112">
        <f t="shared" si="9"/>
        <v>-2.092387222938612</v>
      </c>
      <c r="F112">
        <f>(C112*0.5+SUM($D$92:D112))*E112</f>
        <v>-278.23414477665045</v>
      </c>
      <c r="G112">
        <f t="shared" si="7"/>
        <v>-7.7654288405548115</v>
      </c>
      <c r="H112">
        <f t="shared" si="6"/>
        <v>7.7654288405548115</v>
      </c>
    </row>
    <row r="113" spans="1:8" ht="12.75">
      <c r="A113">
        <v>320</v>
      </c>
      <c r="B113">
        <v>240</v>
      </c>
      <c r="C113">
        <f t="shared" si="10"/>
        <v>200</v>
      </c>
      <c r="D113">
        <f>G2</f>
        <v>2.7069</v>
      </c>
      <c r="E113">
        <f t="shared" si="9"/>
        <v>-2.092387222938612</v>
      </c>
      <c r="F113">
        <f>(C113*0.5+SUM($D$92:D113))*E113</f>
        <v>-283.898027750423</v>
      </c>
      <c r="G113">
        <f t="shared" si="7"/>
        <v>-7.923506060837633</v>
      </c>
      <c r="H113">
        <f t="shared" si="6"/>
        <v>7.923506060837633</v>
      </c>
    </row>
    <row r="114" spans="1:8" ht="12.75">
      <c r="A114">
        <v>340</v>
      </c>
      <c r="B114">
        <v>240</v>
      </c>
      <c r="C114">
        <f t="shared" si="10"/>
        <v>220</v>
      </c>
      <c r="D114">
        <v>0</v>
      </c>
      <c r="E114">
        <f t="shared" si="9"/>
        <v>-2.092387222938612</v>
      </c>
      <c r="F114">
        <f>(C114*0.5+SUM($D$92:D114))*E114</f>
        <v>-304.82189997980913</v>
      </c>
      <c r="G114">
        <f t="shared" si="7"/>
        <v>-8.507484856813916</v>
      </c>
      <c r="H114">
        <f t="shared" si="6"/>
        <v>8.507484856813916</v>
      </c>
    </row>
    <row r="115" spans="1:8" ht="12.75">
      <c r="A115">
        <v>340</v>
      </c>
      <c r="B115">
        <v>240</v>
      </c>
      <c r="C115">
        <f t="shared" si="10"/>
        <v>220</v>
      </c>
      <c r="D115">
        <f>G2</f>
        <v>2.7069</v>
      </c>
      <c r="E115">
        <f t="shared" si="9"/>
        <v>-2.092387222938612</v>
      </c>
      <c r="F115">
        <f>(C115*0.5+SUM($D$92:D115))*E115</f>
        <v>-310.4857829535817</v>
      </c>
      <c r="G115">
        <f t="shared" si="7"/>
        <v>-8.665562077096736</v>
      </c>
      <c r="H115">
        <f t="shared" si="6"/>
        <v>8.665562077096736</v>
      </c>
    </row>
    <row r="116" spans="1:8" ht="12.75">
      <c r="A116">
        <v>360</v>
      </c>
      <c r="B116">
        <v>240</v>
      </c>
      <c r="C116">
        <f t="shared" si="10"/>
        <v>240</v>
      </c>
      <c r="D116">
        <v>0</v>
      </c>
      <c r="E116">
        <f t="shared" si="9"/>
        <v>-2.092387222938612</v>
      </c>
      <c r="F116">
        <f>(C116*0.5+SUM($D$92:D116))*E116</f>
        <v>-331.4096551829678</v>
      </c>
      <c r="G116">
        <f t="shared" si="7"/>
        <v>-9.249540873073018</v>
      </c>
      <c r="H116">
        <f t="shared" si="6"/>
        <v>9.249540873073018</v>
      </c>
    </row>
    <row r="117" spans="1:9" ht="12.75">
      <c r="A117">
        <v>360</v>
      </c>
      <c r="B117">
        <v>240</v>
      </c>
      <c r="C117">
        <v>240</v>
      </c>
      <c r="D117">
        <v>0</v>
      </c>
      <c r="F117">
        <f>$F$42+$F$79+$F$116+((480-$M$2)*C117-C117^2/2+$D$45*($B$45-$M$2)+$D$47*($B$47-$M$2)+$D$49*($B$49-$M$2)+$D$51*($B$51-$M$2)+$D$53*($B$53-$M$2)+$D$82*($B$82-$M$2)+$D$84*($B$84-$M$2)+$D$86*($B$86-$M$2)+$D$88*($B$88-$M$2)+$D$90*($B$90-$M$2))*0.5</f>
        <v>89707.99332741126</v>
      </c>
      <c r="G117">
        <f t="shared" si="7"/>
        <v>2503.722320537557</v>
      </c>
      <c r="H117">
        <f t="shared" si="6"/>
        <v>2503.722320537557</v>
      </c>
      <c r="I117" t="s">
        <v>101</v>
      </c>
    </row>
    <row r="118" spans="1:8" ht="12.75">
      <c r="A118">
        <v>360</v>
      </c>
      <c r="B118">
        <v>220</v>
      </c>
      <c r="C118">
        <v>260</v>
      </c>
      <c r="D118">
        <v>0</v>
      </c>
      <c r="F118">
        <f>$F$42+$F$79+$F$116+((480-$M$2)*C118-C118^2/2+$D$45*($B$45-$M$2)+$D$47*($B$47-$M$2)+$D$49*($B$49-$M$2)+$D$51*($B$51-$M$2)+$D$53*($B$53-$M$2)+$D$82*($B$82-$M$2)+$D$84*($B$84-$M$2)+$D$86*($B$86-$M$2)+$D$88*($B$88-$M$2)+$D$90*($B$90-$M$2))*0.5</f>
        <v>89584.56945518187</v>
      </c>
      <c r="G118">
        <f t="shared" si="7"/>
        <v>2500.277598475165</v>
      </c>
      <c r="H118">
        <f t="shared" si="6"/>
        <v>2500.277598475165</v>
      </c>
    </row>
    <row r="119" spans="1:8" ht="12.75">
      <c r="A119">
        <v>360</v>
      </c>
      <c r="B119">
        <v>220</v>
      </c>
      <c r="C119">
        <v>260</v>
      </c>
      <c r="D119">
        <f>G2</f>
        <v>2.7069</v>
      </c>
      <c r="F119">
        <f>$F$42+$F$79+$F$116+((480-$M$2)*C119-C119^2/2+$D$45*($B$45-$M$2)+$D$47*($B$47-$M$2)+$D$49*($B$49-$M$2)+$D$51*($B$51-$M$2)+$D$53*($B$53-$M$2)+$D$82*($B$82-$M$2)+$D$84*($B$84-$M$2)+$D$86*($B$86-$M$2)+$D$88*($B$88-$M$2)+$D$90*($B$90-$M$2)+$D$119*($B$119-$M$2))*0.5</f>
        <v>89554.33015119498</v>
      </c>
      <c r="G119">
        <f t="shared" si="7"/>
        <v>2499.4336288628565</v>
      </c>
      <c r="H119">
        <f t="shared" si="6"/>
        <v>2499.4336288628565</v>
      </c>
    </row>
    <row r="120" spans="1:8" ht="12.75">
      <c r="A120">
        <v>360</v>
      </c>
      <c r="B120">
        <v>200</v>
      </c>
      <c r="C120">
        <v>280</v>
      </c>
      <c r="D120">
        <v>0</v>
      </c>
      <c r="F120">
        <f>$F$42+$F$79+$F$116+((480-$M$2)*C120-C120^2/2+$D$45*($B$45-$M$2)+$D$47*($B$47-$M$2)+$D$49*($B$49-$M$2)+$D$51*($B$51-$M$2)+$D$53*($B$53-$M$2)+$D$82*($B$82-$M$2)+$D$84*($B$84-$M$2)+$D$86*($B$86-$M$2)+$D$88*($B$88-$M$2)+$D$90*($B$90-$M$2)+$D$119*($B$119-$M$2))*0.5</f>
        <v>89230.9062789656</v>
      </c>
      <c r="G120">
        <f t="shared" si="7"/>
        <v>2490.4069687196525</v>
      </c>
      <c r="H120">
        <f t="shared" si="6"/>
        <v>2490.4069687196525</v>
      </c>
    </row>
    <row r="121" spans="1:8" ht="12.75">
      <c r="A121">
        <v>360</v>
      </c>
      <c r="B121">
        <v>200</v>
      </c>
      <c r="C121">
        <v>280</v>
      </c>
      <c r="D121">
        <f>G2</f>
        <v>2.7069</v>
      </c>
      <c r="F121">
        <f>$F$42+$F$79+$F$116+((480-$M$2)*C121-C121^2/2+$D$45*($B$45-$M$2)+$D$47*($B$47-$M$2)+$D$49*($B$49-$M$2)+$D$51*($B$51-$M$2)+$D$53*($B$53-$M$2)+$D$82*($B$82-$M$2)+$D$84*($B$84-$M$2)+$D$86*($B$86-$M$2)+$D$88*($B$88-$M$2)+$D$90*($B$90-$M$2)+$D$119*($B$119-$M$2)+$D$121*($B$121-$M$2))*0.5</f>
        <v>89173.59797497872</v>
      </c>
      <c r="G121">
        <f t="shared" si="7"/>
        <v>2488.8075116977966</v>
      </c>
      <c r="H121">
        <f t="shared" si="6"/>
        <v>2488.8075116977966</v>
      </c>
    </row>
    <row r="122" spans="1:8" ht="12.75">
      <c r="A122">
        <v>360</v>
      </c>
      <c r="B122">
        <v>180</v>
      </c>
      <c r="C122">
        <v>300</v>
      </c>
      <c r="D122">
        <v>0</v>
      </c>
      <c r="F122">
        <f>$F$42+$F$79+$F$116+((480-$M$2)*C122-C122^2/2+$D$45*($B$45-$M$2)+$D$47*($B$47-$M$2)+$D$49*($B$49-$M$2)+$D$51*($B$51-$M$2)+$D$53*($B$53-$M$2)+$D$82*($B$82-$M$2)+$D$84*($B$84-$M$2)+$D$86*($B$86-$M$2)+$D$88*($B$88-$M$2)+$D$90*($B$90-$M$2)+$D$119*($B$119-$M$2)+$D$121*($B$121-$M$2))*0.5</f>
        <v>88650.17410274933</v>
      </c>
      <c r="G122">
        <f t="shared" si="7"/>
        <v>2474.19891347378</v>
      </c>
      <c r="H122">
        <f t="shared" si="6"/>
        <v>2474.19891347378</v>
      </c>
    </row>
    <row r="123" spans="1:8" ht="12.75">
      <c r="A123">
        <v>360</v>
      </c>
      <c r="B123">
        <v>180</v>
      </c>
      <c r="C123">
        <v>300</v>
      </c>
      <c r="D123">
        <f>G2</f>
        <v>2.7069</v>
      </c>
      <c r="F123">
        <f>$F$42+$F$79+$F$116+((480-$M$2)*C123-C123^2/2+$D$45*($B$45-$M$2)+$D$47*($B$47-$M$2)+$D$49*($B$49-$M$2)+$D$51*($B$51-$M$2)+$D$53*($B$53-$M$2)+$D$82*($B$82-$M$2)+$D$84*($B$84-$M$2)+$D$86*($B$86-$M$2)+$D$88*($B$88-$M$2)+$D$90*($B$90-$M$2)+$D$119*($B$119-$M$2)+$D$121*($B$121-$M$2)+$D$123*($B$123-$M$2))*0.5</f>
        <v>88565.79679876244</v>
      </c>
      <c r="G123">
        <f t="shared" si="7"/>
        <v>2471.8439690423766</v>
      </c>
      <c r="H123">
        <f t="shared" si="6"/>
        <v>2471.8439690423766</v>
      </c>
    </row>
    <row r="124" spans="1:8" ht="12.75">
      <c r="A124">
        <v>360</v>
      </c>
      <c r="B124">
        <v>160</v>
      </c>
      <c r="C124">
        <v>320</v>
      </c>
      <c r="D124">
        <v>0</v>
      </c>
      <c r="F124">
        <f>$F$42+$F$79+$F$116+((480-$M$2)*C124-C124^2/2+$D$45*($B$45-$M$2)+$D$47*($B$47-$M$2)+$D$49*($B$49-$M$2)+$D$51*($B$51-$M$2)+$D$53*($B$53-$M$2)+$D$82*($B$82-$M$2)+$D$84*($B$84-$M$2)+$D$86*($B$86-$M$2)+$D$88*($B$88-$M$2)+$D$90*($B$90-$M$2)+$D$119*($B$119-$M$2)+$D$121*($B$121-$M$2)+$D$123*($B$123-$M$2))*0.5</f>
        <v>87842.37292653305</v>
      </c>
      <c r="G124">
        <f t="shared" si="7"/>
        <v>2451.653432737548</v>
      </c>
      <c r="H124">
        <f t="shared" si="6"/>
        <v>2451.653432737548</v>
      </c>
    </row>
    <row r="125" spans="1:8" ht="12.75">
      <c r="A125">
        <v>360</v>
      </c>
      <c r="B125">
        <v>160</v>
      </c>
      <c r="C125">
        <v>320</v>
      </c>
      <c r="D125">
        <f>G2</f>
        <v>2.7069</v>
      </c>
      <c r="F125">
        <f>$F$42+$F$79+$F$116+((480-$M$2)*C125-C125^2/2+$D$45*($B$45-$M$2)+$D$47*($B$47-$M$2)+$D$49*($B$49-$M$2)+$D$51*($B$51-$M$2)+$D$53*($B$53-$M$2)+$D$82*($B$82-$M$2)+$D$84*($B$84-$M$2)+$D$86*($B$86-$M$2)+$D$88*($B$88-$M$2)+$D$90*($B$90-$M$2)+$D$119*($B$119-$M$2)+$D$121*($B$121-$M$2)+$D$123*($B$123-$M$2)+$D$125*($B$125-$M$2))*0.5</f>
        <v>87730.92662254616</v>
      </c>
      <c r="G125">
        <f t="shared" si="7"/>
        <v>2448.543000896597</v>
      </c>
      <c r="H125">
        <f t="shared" si="6"/>
        <v>2448.543000896597</v>
      </c>
    </row>
    <row r="126" spans="1:8" ht="12.75">
      <c r="A126">
        <v>360</v>
      </c>
      <c r="B126">
        <v>140</v>
      </c>
      <c r="C126">
        <v>340</v>
      </c>
      <c r="D126">
        <v>0</v>
      </c>
      <c r="F126">
        <f>$F$42+$F$79+$F$116+((480-$M$2)*C126-C126^2/2+$D$45*($B$45-$M$2)+$D$47*($B$47-$M$2)+$D$49*($B$49-$M$2)+$D$51*($B$51-$M$2)+$D$53*($B$53-$M$2)+$D$82*($B$82-$M$2)+$D$84*($B$84-$M$2)+$D$86*($B$86-$M$2)+$D$88*($B$88-$M$2)+$D$90*($B$90-$M$2)+$D$119*($B$119-$M$2)+$D$121*($B$121-$M$2)+$D$123*($B$123-$M$2)+$D$125*($B$125-$M$2))*0.5</f>
        <v>86807.50275031678</v>
      </c>
      <c r="G126">
        <f t="shared" si="7"/>
        <v>2422.7705265109566</v>
      </c>
      <c r="H126">
        <f t="shared" si="6"/>
        <v>2422.7705265109566</v>
      </c>
    </row>
    <row r="127" spans="1:8" ht="12.75">
      <c r="A127">
        <v>360</v>
      </c>
      <c r="B127">
        <v>140</v>
      </c>
      <c r="C127">
        <v>340</v>
      </c>
      <c r="D127">
        <f>G2</f>
        <v>2.7069</v>
      </c>
      <c r="F127">
        <f>$F$42+$F$79+$F$116+((480-$M$2)*C127-C127^2/2+$D$45*($B$45-$M$2)+$D$47*($B$47-$M$2)+$D$49*($B$49-$M$2)+$D$51*($B$51-$M$2)+$D$53*($B$53-$M$2)+$D$82*($B$82-$M$2)+$D$84*($B$84-$M$2)+$D$86*($B$86-$M$2)+$D$88*($B$88-$M$2)+$D$90*($B$90-$M$2)+$D$119*($B$119-$M$2)+$D$121*($B$121-$M$2)+$D$123*($B$123-$M$2)+$D$125*($B$125-$M$2)+$D$127*($B$127-$M$2))*0.5</f>
        <v>86668.9874463299</v>
      </c>
      <c r="G127">
        <f t="shared" si="7"/>
        <v>2418.9046072604583</v>
      </c>
      <c r="H127">
        <f t="shared" si="6"/>
        <v>2418.9046072604583</v>
      </c>
    </row>
    <row r="128" spans="1:8" ht="12.75">
      <c r="A128">
        <v>360</v>
      </c>
      <c r="B128">
        <v>120</v>
      </c>
      <c r="C128">
        <v>360</v>
      </c>
      <c r="D128">
        <v>0</v>
      </c>
      <c r="F128">
        <f>$F$42+$F$79+$F$116+((480-$M$2)*C128-C128^2/2+$D$45*($B$45-$M$2)+$D$47*($B$47-$M$2)+$D$49*($B$49-$M$2)+$D$51*($B$51-$M$2)+$D$53*($B$53-$M$2)+$D$82*($B$82-$M$2)+$D$84*($B$84-$M$2)+$D$86*($B$86-$M$2)+$D$88*($B$88-$M$2)+$D$90*($B$90-$M$2)+$D$119*($B$119-$M$2)+$D$121*($B$121-$M$2)+$D$123*($B$123-$M$2)+$D$125*($B$125-$M$2)+$D$127*($B$127-$M$2))*0.5</f>
        <v>85545.56357410051</v>
      </c>
      <c r="G128">
        <f t="shared" si="7"/>
        <v>2387.550194794005</v>
      </c>
      <c r="H128">
        <f t="shared" si="6"/>
        <v>2387.550194794005</v>
      </c>
    </row>
    <row r="129" spans="1:9" ht="12.75">
      <c r="A129">
        <v>0</v>
      </c>
      <c r="B129">
        <v>120</v>
      </c>
      <c r="C129">
        <v>0</v>
      </c>
      <c r="D129">
        <v>0</v>
      </c>
      <c r="F129">
        <f>(C129*0.5+D129)*E129</f>
        <v>0</v>
      </c>
      <c r="G129">
        <f t="shared" si="7"/>
        <v>0</v>
      </c>
      <c r="H129">
        <f t="shared" si="6"/>
        <v>0</v>
      </c>
      <c r="I129" t="s">
        <v>103</v>
      </c>
    </row>
    <row r="130" spans="1:8" ht="12.75">
      <c r="A130">
        <v>0</v>
      </c>
      <c r="B130">
        <v>120</v>
      </c>
      <c r="C130">
        <v>0</v>
      </c>
      <c r="D130">
        <f>E2</f>
        <v>5.65965</v>
      </c>
      <c r="E130">
        <f>B130-0.25-$M$2</f>
        <v>-122.59238722293861</v>
      </c>
      <c r="F130">
        <f>(C130*0.5+D130)*E130</f>
        <v>-693.8300043463046</v>
      </c>
      <c r="G130">
        <f t="shared" si="7"/>
        <v>-19.364580614353187</v>
      </c>
      <c r="H130">
        <f t="shared" si="6"/>
        <v>19.364580614353187</v>
      </c>
    </row>
    <row r="131" spans="1:8" ht="12.75">
      <c r="A131">
        <v>20</v>
      </c>
      <c r="B131">
        <v>120</v>
      </c>
      <c r="C131">
        <v>20</v>
      </c>
      <c r="E131">
        <f aca="true" t="shared" si="11" ref="E131:E165">B131-0.25-$M$2</f>
        <v>-122.59238722293861</v>
      </c>
      <c r="F131">
        <f>(C131*0.5+SUM($D$129:D131))*E131</f>
        <v>-1919.7538765756906</v>
      </c>
      <c r="G131">
        <f t="shared" si="7"/>
        <v>-53.57973634722215</v>
      </c>
      <c r="H131">
        <f t="shared" si="6"/>
        <v>53.57973634722215</v>
      </c>
    </row>
    <row r="132" spans="1:8" ht="12.75">
      <c r="A132">
        <v>20</v>
      </c>
      <c r="B132">
        <v>120</v>
      </c>
      <c r="C132">
        <v>20</v>
      </c>
      <c r="D132">
        <f>G2</f>
        <v>2.7069</v>
      </c>
      <c r="E132">
        <f t="shared" si="11"/>
        <v>-122.59238722293861</v>
      </c>
      <c r="F132">
        <f>(C132*0.5+SUM($D$129:D132))*E132</f>
        <v>-2251.599209549463</v>
      </c>
      <c r="G132">
        <f t="shared" si="7"/>
        <v>-62.84143685255246</v>
      </c>
      <c r="H132">
        <f t="shared" si="6"/>
        <v>62.84143685255246</v>
      </c>
    </row>
    <row r="133" spans="1:8" ht="12.75">
      <c r="A133">
        <v>40</v>
      </c>
      <c r="B133">
        <v>120</v>
      </c>
      <c r="C133">
        <v>40</v>
      </c>
      <c r="E133">
        <f t="shared" si="11"/>
        <v>-122.59238722293861</v>
      </c>
      <c r="F133">
        <f>(C133*0.5+SUM($D$129:D133))*E133</f>
        <v>-3477.5230817788492</v>
      </c>
      <c r="G133">
        <f t="shared" si="7"/>
        <v>-97.05659258542143</v>
      </c>
      <c r="H133">
        <f t="shared" si="6"/>
        <v>97.05659258542143</v>
      </c>
    </row>
    <row r="134" spans="1:8" ht="12.75">
      <c r="A134">
        <v>40</v>
      </c>
      <c r="B134">
        <v>120</v>
      </c>
      <c r="C134">
        <v>40</v>
      </c>
      <c r="D134">
        <f>G2</f>
        <v>2.7069</v>
      </c>
      <c r="E134">
        <f t="shared" si="11"/>
        <v>-122.59238722293861</v>
      </c>
      <c r="F134">
        <f>(C134*0.5+SUM($D$129:D134))*E134</f>
        <v>-3809.368414752622</v>
      </c>
      <c r="G134">
        <f t="shared" si="7"/>
        <v>-106.31829309075174</v>
      </c>
      <c r="H134">
        <f t="shared" si="6"/>
        <v>106.31829309075174</v>
      </c>
    </row>
    <row r="135" spans="1:8" ht="12.75">
      <c r="A135">
        <v>60</v>
      </c>
      <c r="B135">
        <v>120</v>
      </c>
      <c r="C135">
        <v>60</v>
      </c>
      <c r="E135">
        <f t="shared" si="11"/>
        <v>-122.59238722293861</v>
      </c>
      <c r="F135">
        <f>(C135*0.5+SUM($D$129:D135))*E135</f>
        <v>-5035.292286982008</v>
      </c>
      <c r="G135">
        <f t="shared" si="7"/>
        <v>-140.53344882362072</v>
      </c>
      <c r="H135">
        <f aca="true" t="shared" si="12" ref="H135:H198">ABS(G135)</f>
        <v>140.53344882362072</v>
      </c>
    </row>
    <row r="136" spans="1:8" ht="12.75">
      <c r="A136">
        <v>60</v>
      </c>
      <c r="B136">
        <v>120</v>
      </c>
      <c r="C136">
        <v>60</v>
      </c>
      <c r="D136">
        <f>G2</f>
        <v>2.7069</v>
      </c>
      <c r="E136">
        <f t="shared" si="11"/>
        <v>-122.59238722293861</v>
      </c>
      <c r="F136">
        <f>(C136*0.5+SUM($D$129:D136))*E136</f>
        <v>-5367.13761995578</v>
      </c>
      <c r="G136">
        <f t="shared" si="7"/>
        <v>-149.795149328951</v>
      </c>
      <c r="H136">
        <f t="shared" si="12"/>
        <v>149.795149328951</v>
      </c>
    </row>
    <row r="137" spans="1:8" ht="12.75">
      <c r="A137">
        <v>80</v>
      </c>
      <c r="B137">
        <v>120</v>
      </c>
      <c r="C137">
        <v>80</v>
      </c>
      <c r="E137">
        <f t="shared" si="11"/>
        <v>-122.59238722293861</v>
      </c>
      <c r="F137">
        <f>(C137*0.5+SUM($D$129:D137))*E137</f>
        <v>-6593.061492185167</v>
      </c>
      <c r="G137">
        <f aca="true" t="shared" si="13" ref="G137:G202">F137*$I$2/$K$2/$B$2</f>
        <v>-184.01030506182</v>
      </c>
      <c r="H137">
        <f t="shared" si="12"/>
        <v>184.01030506182</v>
      </c>
    </row>
    <row r="138" spans="1:8" ht="12.75">
      <c r="A138">
        <v>80</v>
      </c>
      <c r="B138">
        <v>120</v>
      </c>
      <c r="C138">
        <v>80</v>
      </c>
      <c r="D138">
        <f>G2</f>
        <v>2.7069</v>
      </c>
      <c r="E138">
        <f t="shared" si="11"/>
        <v>-122.59238722293861</v>
      </c>
      <c r="F138">
        <f>(C138*0.5+SUM($D$129:D138))*E138</f>
        <v>-6924.90682515894</v>
      </c>
      <c r="G138">
        <f t="shared" si="13"/>
        <v>-193.2720055671503</v>
      </c>
      <c r="H138">
        <f t="shared" si="12"/>
        <v>193.2720055671503</v>
      </c>
    </row>
    <row r="139" spans="1:8" ht="12.75">
      <c r="A139">
        <v>100</v>
      </c>
      <c r="B139">
        <v>120</v>
      </c>
      <c r="C139">
        <v>100</v>
      </c>
      <c r="E139">
        <f t="shared" si="11"/>
        <v>-122.59238722293861</v>
      </c>
      <c r="F139">
        <f>(C139*0.5+SUM($D$129:D139))*E139</f>
        <v>-8150.8306973883255</v>
      </c>
      <c r="G139">
        <f t="shared" si="13"/>
        <v>-227.48716130001924</v>
      </c>
      <c r="H139">
        <f t="shared" si="12"/>
        <v>227.48716130001924</v>
      </c>
    </row>
    <row r="140" spans="1:8" ht="12.75">
      <c r="A140">
        <v>100</v>
      </c>
      <c r="B140">
        <v>120</v>
      </c>
      <c r="C140">
        <v>100</v>
      </c>
      <c r="D140">
        <f>G2</f>
        <v>2.7069</v>
      </c>
      <c r="E140">
        <f t="shared" si="11"/>
        <v>-122.59238722293861</v>
      </c>
      <c r="F140">
        <f>(C140*0.5+SUM($D$129:D140))*E140</f>
        <v>-8482.6760303621</v>
      </c>
      <c r="G140">
        <f t="shared" si="13"/>
        <v>-236.7488618053496</v>
      </c>
      <c r="H140">
        <f t="shared" si="12"/>
        <v>236.7488618053496</v>
      </c>
    </row>
    <row r="141" spans="1:8" ht="12.75">
      <c r="A141">
        <v>120</v>
      </c>
      <c r="B141">
        <v>120</v>
      </c>
      <c r="C141">
        <v>120</v>
      </c>
      <c r="E141">
        <f t="shared" si="11"/>
        <v>-122.59238722293861</v>
      </c>
      <c r="F141">
        <f>(C141*0.5+SUM($D$129:D141))*E141</f>
        <v>-9708.599902591484</v>
      </c>
      <c r="G141">
        <f t="shared" si="13"/>
        <v>-270.9640175382185</v>
      </c>
      <c r="H141">
        <f t="shared" si="12"/>
        <v>270.9640175382185</v>
      </c>
    </row>
    <row r="142" spans="1:8" ht="12.75">
      <c r="A142">
        <v>120</v>
      </c>
      <c r="B142">
        <v>120</v>
      </c>
      <c r="C142">
        <v>120</v>
      </c>
      <c r="D142">
        <f>E2</f>
        <v>5.65965</v>
      </c>
      <c r="E142">
        <f t="shared" si="11"/>
        <v>-122.59238722293861</v>
      </c>
      <c r="F142">
        <f>(C142*0.5+SUM($D$129:D142))*E142</f>
        <v>-10402.429906937788</v>
      </c>
      <c r="G142">
        <f t="shared" si="13"/>
        <v>-290.3285981525717</v>
      </c>
      <c r="H142">
        <f t="shared" si="12"/>
        <v>290.3285981525717</v>
      </c>
    </row>
    <row r="143" spans="1:8" ht="12.75">
      <c r="A143">
        <v>140</v>
      </c>
      <c r="B143">
        <v>120</v>
      </c>
      <c r="C143">
        <v>140</v>
      </c>
      <c r="E143">
        <f t="shared" si="11"/>
        <v>-122.59238722293861</v>
      </c>
      <c r="F143">
        <f>(C143*0.5+SUM($D$129:D143))*E143</f>
        <v>-11628.353779167175</v>
      </c>
      <c r="G143">
        <f t="shared" si="13"/>
        <v>-324.5437538854407</v>
      </c>
      <c r="H143">
        <f t="shared" si="12"/>
        <v>324.5437538854407</v>
      </c>
    </row>
    <row r="144" spans="1:8" ht="12.75">
      <c r="A144">
        <v>140</v>
      </c>
      <c r="B144">
        <v>120</v>
      </c>
      <c r="C144">
        <v>140</v>
      </c>
      <c r="D144">
        <f>G2</f>
        <v>2.7069</v>
      </c>
      <c r="E144">
        <f t="shared" si="11"/>
        <v>-122.59238722293861</v>
      </c>
      <c r="F144">
        <f>(C144*0.5+SUM($D$129:D144))*E144</f>
        <v>-11960.199112140946</v>
      </c>
      <c r="G144">
        <f t="shared" si="13"/>
        <v>-333.805454390771</v>
      </c>
      <c r="H144">
        <f t="shared" si="12"/>
        <v>333.805454390771</v>
      </c>
    </row>
    <row r="145" spans="1:8" ht="12.75">
      <c r="A145">
        <v>160</v>
      </c>
      <c r="B145">
        <v>120</v>
      </c>
      <c r="C145">
        <v>160</v>
      </c>
      <c r="E145">
        <f t="shared" si="11"/>
        <v>-122.59238722293861</v>
      </c>
      <c r="F145">
        <f>(C145*0.5+SUM($D$129:D145))*E145</f>
        <v>-13186.122984370333</v>
      </c>
      <c r="G145">
        <f t="shared" si="13"/>
        <v>-368.02061012364</v>
      </c>
      <c r="H145">
        <f t="shared" si="12"/>
        <v>368.02061012364</v>
      </c>
    </row>
    <row r="146" spans="1:8" ht="12.75">
      <c r="A146">
        <v>160</v>
      </c>
      <c r="B146">
        <v>120</v>
      </c>
      <c r="C146">
        <v>160</v>
      </c>
      <c r="D146">
        <f>G2</f>
        <v>2.7069</v>
      </c>
      <c r="E146">
        <f t="shared" si="11"/>
        <v>-122.59238722293861</v>
      </c>
      <c r="F146">
        <f>(C146*0.5+SUM($D$129:D146))*E146</f>
        <v>-13517.968317344106</v>
      </c>
      <c r="G146">
        <f t="shared" si="13"/>
        <v>-377.28231062897027</v>
      </c>
      <c r="H146">
        <f t="shared" si="12"/>
        <v>377.28231062897027</v>
      </c>
    </row>
    <row r="147" spans="1:8" ht="12.75">
      <c r="A147">
        <v>180</v>
      </c>
      <c r="B147">
        <v>120</v>
      </c>
      <c r="C147">
        <v>180</v>
      </c>
      <c r="E147">
        <f t="shared" si="11"/>
        <v>-122.59238722293861</v>
      </c>
      <c r="F147">
        <f>(C147*0.5+SUM($D$129:D147))*E147</f>
        <v>-14743.892189573491</v>
      </c>
      <c r="G147">
        <f t="shared" si="13"/>
        <v>-411.4974663618392</v>
      </c>
      <c r="H147">
        <f t="shared" si="12"/>
        <v>411.4974663618392</v>
      </c>
    </row>
    <row r="148" spans="1:8" ht="12.75">
      <c r="A148">
        <v>180</v>
      </c>
      <c r="B148">
        <v>120</v>
      </c>
      <c r="C148">
        <v>180</v>
      </c>
      <c r="D148">
        <f>G2</f>
        <v>2.7069</v>
      </c>
      <c r="E148">
        <f t="shared" si="11"/>
        <v>-122.59238722293861</v>
      </c>
      <c r="F148">
        <f>(C148*0.5+SUM($D$129:D148))*E148</f>
        <v>-15075.737522547264</v>
      </c>
      <c r="G148">
        <f t="shared" si="13"/>
        <v>-420.75916686716954</v>
      </c>
      <c r="H148">
        <f t="shared" si="12"/>
        <v>420.75916686716954</v>
      </c>
    </row>
    <row r="149" spans="1:8" ht="12.75">
      <c r="A149">
        <v>200</v>
      </c>
      <c r="B149">
        <v>120</v>
      </c>
      <c r="C149">
        <v>200</v>
      </c>
      <c r="E149">
        <f t="shared" si="11"/>
        <v>-122.59238722293861</v>
      </c>
      <c r="F149">
        <f>(C149*0.5+SUM($D$129:D149))*E149</f>
        <v>-16301.661394776651</v>
      </c>
      <c r="G149">
        <f t="shared" si="13"/>
        <v>-454.9743226000385</v>
      </c>
      <c r="H149">
        <f t="shared" si="12"/>
        <v>454.9743226000385</v>
      </c>
    </row>
    <row r="150" spans="1:8" ht="12.75">
      <c r="A150">
        <v>200</v>
      </c>
      <c r="B150">
        <v>120</v>
      </c>
      <c r="C150">
        <v>200</v>
      </c>
      <c r="D150">
        <f>G2</f>
        <v>2.7069</v>
      </c>
      <c r="E150">
        <f t="shared" si="11"/>
        <v>-122.59238722293861</v>
      </c>
      <c r="F150">
        <f>(C150*0.5+SUM($D$129:D150))*E150</f>
        <v>-16633.506727750424</v>
      </c>
      <c r="G150">
        <f t="shared" si="13"/>
        <v>-464.2360231053689</v>
      </c>
      <c r="H150">
        <f t="shared" si="12"/>
        <v>464.2360231053689</v>
      </c>
    </row>
    <row r="151" spans="1:8" ht="12.75">
      <c r="A151">
        <v>220</v>
      </c>
      <c r="B151">
        <v>120</v>
      </c>
      <c r="C151">
        <v>220</v>
      </c>
      <c r="E151">
        <f t="shared" si="11"/>
        <v>-122.59238722293861</v>
      </c>
      <c r="F151">
        <f>(C151*0.5+SUM($D$129:D151))*E151</f>
        <v>-17859.43059997981</v>
      </c>
      <c r="G151">
        <f t="shared" si="13"/>
        <v>-498.45117883823775</v>
      </c>
      <c r="H151">
        <f t="shared" si="12"/>
        <v>498.45117883823775</v>
      </c>
    </row>
    <row r="152" spans="1:8" ht="12.75">
      <c r="A152">
        <v>220</v>
      </c>
      <c r="B152">
        <v>120</v>
      </c>
      <c r="C152">
        <v>220</v>
      </c>
      <c r="D152">
        <f>G2</f>
        <v>2.7069</v>
      </c>
      <c r="E152">
        <f t="shared" si="11"/>
        <v>-122.59238722293861</v>
      </c>
      <c r="F152">
        <f>(C152*0.5+SUM($D$129:D152))*E152</f>
        <v>-18191.275932953584</v>
      </c>
      <c r="G152">
        <f t="shared" si="13"/>
        <v>-507.7128793435681</v>
      </c>
      <c r="H152">
        <f t="shared" si="12"/>
        <v>507.7128793435681</v>
      </c>
    </row>
    <row r="153" spans="1:8" ht="12.75">
      <c r="A153">
        <v>240</v>
      </c>
      <c r="B153">
        <v>120</v>
      </c>
      <c r="C153">
        <v>240</v>
      </c>
      <c r="E153">
        <f t="shared" si="11"/>
        <v>-122.59238722293861</v>
      </c>
      <c r="F153">
        <f>(C153*0.5+SUM($D$129:D153))*E153</f>
        <v>-19417.19980518297</v>
      </c>
      <c r="G153">
        <f t="shared" si="13"/>
        <v>-541.928035076437</v>
      </c>
      <c r="H153">
        <f t="shared" si="12"/>
        <v>541.928035076437</v>
      </c>
    </row>
    <row r="154" spans="1:8" ht="12.75">
      <c r="A154">
        <v>240</v>
      </c>
      <c r="B154">
        <v>120</v>
      </c>
      <c r="C154">
        <v>240</v>
      </c>
      <c r="D154">
        <f>E2</f>
        <v>5.65965</v>
      </c>
      <c r="E154">
        <f t="shared" si="11"/>
        <v>-122.59238722293861</v>
      </c>
      <c r="F154">
        <f>(C154*0.5+SUM($D$129:D154))*E154</f>
        <v>-20111.029809529275</v>
      </c>
      <c r="G154">
        <f t="shared" si="13"/>
        <v>-561.2926156907903</v>
      </c>
      <c r="H154">
        <f t="shared" si="12"/>
        <v>561.2926156907903</v>
      </c>
    </row>
    <row r="155" spans="1:8" ht="12.75">
      <c r="A155">
        <v>260</v>
      </c>
      <c r="B155">
        <v>120</v>
      </c>
      <c r="C155">
        <v>260</v>
      </c>
      <c r="E155">
        <f t="shared" si="11"/>
        <v>-122.59238722293861</v>
      </c>
      <c r="F155">
        <f>(C155*0.5+SUM($D$129:D155))*E155</f>
        <v>-21336.95368175866</v>
      </c>
      <c r="G155">
        <f t="shared" si="13"/>
        <v>-595.5077714236593</v>
      </c>
      <c r="H155">
        <f t="shared" si="12"/>
        <v>595.5077714236593</v>
      </c>
    </row>
    <row r="156" spans="1:8" ht="12.75">
      <c r="A156">
        <v>260</v>
      </c>
      <c r="B156">
        <v>120</v>
      </c>
      <c r="C156">
        <v>260</v>
      </c>
      <c r="D156">
        <f>G2</f>
        <v>2.7069</v>
      </c>
      <c r="E156">
        <f t="shared" si="11"/>
        <v>-122.59238722293861</v>
      </c>
      <c r="F156">
        <f>(C156*0.5+SUM($D$129:D156))*E156</f>
        <v>-21668.79901473243</v>
      </c>
      <c r="G156">
        <f t="shared" si="13"/>
        <v>-604.7694719289896</v>
      </c>
      <c r="H156">
        <f t="shared" si="12"/>
        <v>604.7694719289896</v>
      </c>
    </row>
    <row r="157" spans="1:8" ht="12.75">
      <c r="A157">
        <v>280</v>
      </c>
      <c r="B157">
        <v>120</v>
      </c>
      <c r="C157">
        <v>280</v>
      </c>
      <c r="E157">
        <f t="shared" si="11"/>
        <v>-122.59238722293861</v>
      </c>
      <c r="F157">
        <f>(C157*0.5+SUM($D$129:D157))*E157</f>
        <v>-22894.72288696182</v>
      </c>
      <c r="G157">
        <f t="shared" si="13"/>
        <v>-638.9846276618586</v>
      </c>
      <c r="H157">
        <f t="shared" si="12"/>
        <v>638.9846276618586</v>
      </c>
    </row>
    <row r="158" spans="1:8" ht="12.75">
      <c r="A158">
        <v>280</v>
      </c>
      <c r="B158">
        <v>120</v>
      </c>
      <c r="C158">
        <v>280</v>
      </c>
      <c r="D158">
        <f>G2</f>
        <v>2.7069</v>
      </c>
      <c r="E158">
        <f t="shared" si="11"/>
        <v>-122.59238722293861</v>
      </c>
      <c r="F158">
        <f>(C158*0.5+SUM($D$129:D158))*E158</f>
        <v>-23226.56821993559</v>
      </c>
      <c r="G158">
        <f t="shared" si="13"/>
        <v>-648.2463281671888</v>
      </c>
      <c r="H158">
        <f t="shared" si="12"/>
        <v>648.2463281671888</v>
      </c>
    </row>
    <row r="159" spans="1:8" ht="12.75">
      <c r="A159">
        <v>300</v>
      </c>
      <c r="B159">
        <v>120</v>
      </c>
      <c r="C159">
        <v>300</v>
      </c>
      <c r="E159">
        <f t="shared" si="11"/>
        <v>-122.59238722293861</v>
      </c>
      <c r="F159">
        <f>(C159*0.5+SUM($D$129:D159))*E159</f>
        <v>-24452.492092164975</v>
      </c>
      <c r="G159">
        <f t="shared" si="13"/>
        <v>-682.4614839000578</v>
      </c>
      <c r="H159">
        <f t="shared" si="12"/>
        <v>682.4614839000578</v>
      </c>
    </row>
    <row r="160" spans="1:8" ht="12.75">
      <c r="A160">
        <v>300</v>
      </c>
      <c r="B160">
        <v>120</v>
      </c>
      <c r="C160">
        <v>300</v>
      </c>
      <c r="D160">
        <f>G2</f>
        <v>2.7069</v>
      </c>
      <c r="E160">
        <f t="shared" si="11"/>
        <v>-122.59238722293861</v>
      </c>
      <c r="F160">
        <f>(C160*0.5+SUM($D$129:D160))*E160</f>
        <v>-24784.337425138747</v>
      </c>
      <c r="G160">
        <f t="shared" si="13"/>
        <v>-691.723184405388</v>
      </c>
      <c r="H160">
        <f t="shared" si="12"/>
        <v>691.723184405388</v>
      </c>
    </row>
    <row r="161" spans="1:8" ht="12.75">
      <c r="A161">
        <v>320</v>
      </c>
      <c r="B161">
        <v>120</v>
      </c>
      <c r="C161">
        <v>320</v>
      </c>
      <c r="E161">
        <f t="shared" si="11"/>
        <v>-122.59238722293861</v>
      </c>
      <c r="F161">
        <f>(C161*0.5+SUM($D$129:D161))*E161</f>
        <v>-26010.26129736813</v>
      </c>
      <c r="G161">
        <f t="shared" si="13"/>
        <v>-725.938340138257</v>
      </c>
      <c r="H161">
        <f t="shared" si="12"/>
        <v>725.938340138257</v>
      </c>
    </row>
    <row r="162" spans="1:8" ht="12.75">
      <c r="A162">
        <v>320</v>
      </c>
      <c r="B162">
        <v>120</v>
      </c>
      <c r="C162">
        <v>320</v>
      </c>
      <c r="D162">
        <f>G2</f>
        <v>2.7069</v>
      </c>
      <c r="E162">
        <f t="shared" si="11"/>
        <v>-122.59238722293861</v>
      </c>
      <c r="F162">
        <f>(C162*0.5+SUM($D$129:D162))*E162</f>
        <v>-26342.106630341903</v>
      </c>
      <c r="G162">
        <f t="shared" si="13"/>
        <v>-735.2000406435873</v>
      </c>
      <c r="H162">
        <f t="shared" si="12"/>
        <v>735.2000406435873</v>
      </c>
    </row>
    <row r="163" spans="1:8" ht="12.75">
      <c r="A163">
        <v>340</v>
      </c>
      <c r="B163">
        <v>120</v>
      </c>
      <c r="C163">
        <v>340</v>
      </c>
      <c r="E163">
        <f t="shared" si="11"/>
        <v>-122.59238722293861</v>
      </c>
      <c r="F163">
        <f>(C163*0.5+SUM($D$129:D163))*E163</f>
        <v>-27568.03050257129</v>
      </c>
      <c r="G163">
        <f t="shared" si="13"/>
        <v>-769.4151963764563</v>
      </c>
      <c r="H163">
        <f t="shared" si="12"/>
        <v>769.4151963764563</v>
      </c>
    </row>
    <row r="164" spans="1:8" ht="12.75">
      <c r="A164">
        <v>340</v>
      </c>
      <c r="B164">
        <v>120</v>
      </c>
      <c r="C164">
        <v>340</v>
      </c>
      <c r="D164">
        <f>G2</f>
        <v>2.7069</v>
      </c>
      <c r="E164">
        <f t="shared" si="11"/>
        <v>-122.59238722293861</v>
      </c>
      <c r="F164">
        <f>(C164*0.5+SUM($D$129:D164))*E164</f>
        <v>-27899.875835545066</v>
      </c>
      <c r="G164">
        <f t="shared" si="13"/>
        <v>-778.6768968817867</v>
      </c>
      <c r="H164">
        <f t="shared" si="12"/>
        <v>778.6768968817867</v>
      </c>
    </row>
    <row r="165" spans="1:8" ht="12.75">
      <c r="A165">
        <v>360</v>
      </c>
      <c r="B165">
        <v>120</v>
      </c>
      <c r="C165">
        <v>360</v>
      </c>
      <c r="E165">
        <f t="shared" si="11"/>
        <v>-122.59238722293861</v>
      </c>
      <c r="F165">
        <f>(C165*0.5+SUM($D$129:D165))*E165</f>
        <v>-29125.79970777445</v>
      </c>
      <c r="G165">
        <f t="shared" si="13"/>
        <v>-812.8920526146557</v>
      </c>
      <c r="H165">
        <f t="shared" si="12"/>
        <v>812.8920526146557</v>
      </c>
    </row>
    <row r="166" spans="1:8" ht="12.75">
      <c r="A166">
        <v>360</v>
      </c>
      <c r="B166">
        <v>120</v>
      </c>
      <c r="C166">
        <v>0</v>
      </c>
      <c r="F166">
        <f>F128+F165</f>
        <v>56419.76386632606</v>
      </c>
      <c r="G166">
        <f t="shared" si="13"/>
        <v>1574.6581421793499</v>
      </c>
      <c r="H166">
        <f t="shared" si="12"/>
        <v>1574.6581421793499</v>
      </c>
    </row>
    <row r="167" spans="1:8" ht="12.75">
      <c r="A167">
        <v>340</v>
      </c>
      <c r="B167">
        <v>100</v>
      </c>
      <c r="C167">
        <v>28.284</v>
      </c>
      <c r="F167">
        <f>$F$166-(122.342*C167+((C167^2)*SQRT(2)/2))*0.5</f>
        <v>54406.766014774665</v>
      </c>
      <c r="G167">
        <f t="shared" si="13"/>
        <v>1518.475995358512</v>
      </c>
      <c r="H167">
        <f t="shared" si="12"/>
        <v>1518.475995358512</v>
      </c>
    </row>
    <row r="168" spans="1:10" ht="12.75">
      <c r="A168">
        <v>340</v>
      </c>
      <c r="B168">
        <v>100</v>
      </c>
      <c r="C168">
        <v>28.284</v>
      </c>
      <c r="D168">
        <f>G2</f>
        <v>2.7069</v>
      </c>
      <c r="F168">
        <f>$F$166-(122.324*C168+C168^2/2*COS(PI()/4)+$D$168*($M$2-$B$168))*0.5</f>
        <v>54355.78591056348</v>
      </c>
      <c r="G168">
        <f t="shared" si="13"/>
        <v>1517.053156433211</v>
      </c>
      <c r="H168">
        <f t="shared" si="12"/>
        <v>1517.053156433211</v>
      </c>
      <c r="I168">
        <f>(122.324*C168+C168^2/2*COS(PI()/4)+$D$168*($M$2-$B$168))*0.5</f>
        <v>2063.977955762583</v>
      </c>
      <c r="J168">
        <f>122.342*20</f>
        <v>2446.84</v>
      </c>
    </row>
    <row r="169" spans="1:8" ht="12.75">
      <c r="A169">
        <v>320</v>
      </c>
      <c r="B169">
        <v>80</v>
      </c>
      <c r="C169">
        <v>56.569</v>
      </c>
      <c r="F169">
        <f>$F$166-(122.324*C169+C169^2/2*COS(PI()/4)+$D$168*($M$2-$B$168))*0.5</f>
        <v>52201.542809251405</v>
      </c>
      <c r="G169">
        <f t="shared" si="13"/>
        <v>1456.928898420508</v>
      </c>
      <c r="H169">
        <f t="shared" si="12"/>
        <v>1456.928898420508</v>
      </c>
    </row>
    <row r="170" spans="1:8" ht="12.75">
      <c r="A170">
        <v>320</v>
      </c>
      <c r="B170">
        <v>80</v>
      </c>
      <c r="C170">
        <v>56.569</v>
      </c>
      <c r="D170">
        <f>G2</f>
        <v>2.7069</v>
      </c>
      <c r="F170">
        <f>$F$166-(122.324*C170+C170^2/2*COS(PI()/4)+$D$168*($M$2-$B$168)+$D$170*($M$2-$B$170))*0.5</f>
        <v>51981.82050526452</v>
      </c>
      <c r="G170">
        <f t="shared" si="13"/>
        <v>1450.7965169413674</v>
      </c>
      <c r="H170">
        <f t="shared" si="12"/>
        <v>1450.7965169413674</v>
      </c>
    </row>
    <row r="171" spans="1:8" ht="12.75">
      <c r="A171">
        <v>300</v>
      </c>
      <c r="B171">
        <v>60</v>
      </c>
      <c r="C171">
        <v>84.853</v>
      </c>
      <c r="F171">
        <f>$F$166-(122.324*C171+C171^2/2*COS(PI()/4)+$D$168*($M$2-$B$168)+$D$170*($M$2-$B$170))*0.5</f>
        <v>49544.81127848194</v>
      </c>
      <c r="G171">
        <f t="shared" si="13"/>
        <v>1382.780343910027</v>
      </c>
      <c r="H171">
        <f t="shared" si="12"/>
        <v>1382.780343910027</v>
      </c>
    </row>
    <row r="172" spans="1:8" ht="12.75">
      <c r="A172">
        <v>300</v>
      </c>
      <c r="B172">
        <v>60</v>
      </c>
      <c r="C172">
        <v>84.853</v>
      </c>
      <c r="D172">
        <f>G2</f>
        <v>2.7069</v>
      </c>
      <c r="F172">
        <f>$F$166-(122.324*C172+C172^2/2*COS(PI()/4)+$D$168*($M$2-$B$168)+$D$170*($M$2-$B$170)+$D$172*($M$2-$B$172))*0.5</f>
        <v>49298.01997449505</v>
      </c>
      <c r="G172">
        <f t="shared" si="13"/>
        <v>1375.8924750213387</v>
      </c>
      <c r="H172">
        <f t="shared" si="12"/>
        <v>1375.8924750213387</v>
      </c>
    </row>
    <row r="173" spans="1:8" ht="12.75">
      <c r="A173">
        <v>280</v>
      </c>
      <c r="B173">
        <v>40</v>
      </c>
      <c r="C173">
        <v>113.137</v>
      </c>
      <c r="F173">
        <f>$F$166-(122.324*C173+C173^2/2*COS(PI()/4)+$D$168*($M$2-$B$168)+$D$170*($M$2-$B$170)+$D$172*($M$2-$B$172))*0.5</f>
        <v>46578.17346016108</v>
      </c>
      <c r="G173">
        <f t="shared" si="13"/>
        <v>1299.982400859715</v>
      </c>
      <c r="H173">
        <f t="shared" si="12"/>
        <v>1299.982400859715</v>
      </c>
    </row>
    <row r="174" spans="1:8" ht="12.75">
      <c r="A174">
        <v>280</v>
      </c>
      <c r="B174">
        <v>40</v>
      </c>
      <c r="C174">
        <v>113.137</v>
      </c>
      <c r="D174">
        <f>G2</f>
        <v>2.7069</v>
      </c>
      <c r="F174">
        <f>$F$166-(122.324*C174+C174^2/2*COS(PI()/4)+$D$168*($M$2-$B$168)+$D$170*($M$2-$B$170)+$D$172*($M$2-$B$172)+$D$174*($M$2-$B$174))*0.5</f>
        <v>46304.31315617419</v>
      </c>
      <c r="G174">
        <f t="shared" si="13"/>
        <v>1292.3390445614789</v>
      </c>
      <c r="H174">
        <f t="shared" si="12"/>
        <v>1292.3390445614789</v>
      </c>
    </row>
    <row r="175" spans="1:8" ht="12.75">
      <c r="A175">
        <v>260</v>
      </c>
      <c r="B175">
        <v>20</v>
      </c>
      <c r="C175">
        <v>141.421</v>
      </c>
      <c r="F175">
        <f>$F$166-(122.324*C175+C175^2/2*COS(PI()/4)+$D$168*($M$2-$B$168)+$D$170*($M$2-$B$170)+$D$172*($M$2-$B$172)+$D$174*($M$2-$B$174))*0.5</f>
        <v>43301.629354288816</v>
      </c>
      <c r="G175">
        <f t="shared" si="13"/>
        <v>1208.5350692695713</v>
      </c>
      <c r="H175">
        <f t="shared" si="12"/>
        <v>1208.5350692695713</v>
      </c>
    </row>
    <row r="176" spans="1:8" ht="12.75">
      <c r="A176">
        <v>260</v>
      </c>
      <c r="B176">
        <v>20</v>
      </c>
      <c r="C176">
        <v>141.421</v>
      </c>
      <c r="D176">
        <f>G2</f>
        <v>2.7069</v>
      </c>
      <c r="F176">
        <f>$F$166-(122.324*C176+C176^2/2*COS(PI()/4)+$D$168*($M$2-$B$168)+$D$170*($M$2-$B$170)+$D$172*($M$2-$B$172)+$D$174*($M$2-$B$174)+D176*($M$2-$B$176))*0.5</f>
        <v>43000.70005030193</v>
      </c>
      <c r="G176">
        <f t="shared" si="13"/>
        <v>1200.136225561788</v>
      </c>
      <c r="H176">
        <f t="shared" si="12"/>
        <v>1200.136225561788</v>
      </c>
    </row>
    <row r="177" spans="1:8" ht="12.75">
      <c r="A177">
        <v>240</v>
      </c>
      <c r="B177">
        <v>0</v>
      </c>
      <c r="C177">
        <v>169.706</v>
      </c>
      <c r="F177">
        <f>$F$166-(122.324*C177+C177^2/2*COS(PI()/4)+$D$168*($M$2-$B$168)+$D$170*($M$2-$B$170)+$D$172*($M$2-$B$172)+$D$174*($M$2-$B$174)+D177*($M$2-$B$176))*0.5</f>
        <v>40015.987102897125</v>
      </c>
      <c r="G177">
        <f t="shared" si="13"/>
        <v>1116.8338112547294</v>
      </c>
      <c r="H177">
        <f t="shared" si="12"/>
        <v>1116.8338112547294</v>
      </c>
    </row>
    <row r="178" spans="1:8" ht="12.75">
      <c r="A178">
        <v>240</v>
      </c>
      <c r="B178">
        <v>0</v>
      </c>
      <c r="C178">
        <v>120</v>
      </c>
      <c r="D178">
        <f>E2</f>
        <v>5.65965</v>
      </c>
      <c r="E178">
        <f aca="true" t="shared" si="14" ref="E178:E202">-$M$2</f>
        <v>-242.3423872229386</v>
      </c>
      <c r="F178">
        <f>SUM($D178:D$203)*E178</f>
        <v>-39069.98527610612</v>
      </c>
      <c r="G178">
        <f t="shared" si="13"/>
        <v>-1090.4311931473171</v>
      </c>
      <c r="H178">
        <f t="shared" si="12"/>
        <v>1090.4311931473171</v>
      </c>
    </row>
    <row r="179" spans="1:8" ht="12.75">
      <c r="A179">
        <v>240</v>
      </c>
      <c r="B179">
        <v>0</v>
      </c>
      <c r="C179">
        <v>120</v>
      </c>
      <c r="D179">
        <v>10</v>
      </c>
      <c r="E179">
        <f t="shared" si="14"/>
        <v>-242.3423872229386</v>
      </c>
      <c r="F179">
        <f>SUM($D179:D$203)*E179</f>
        <v>-37698.41218425981</v>
      </c>
      <c r="G179">
        <f t="shared" si="13"/>
        <v>-1052.1510127873469</v>
      </c>
      <c r="H179">
        <f t="shared" si="12"/>
        <v>1052.1510127873469</v>
      </c>
    </row>
    <row r="180" spans="1:8" ht="12.75">
      <c r="A180">
        <v>220</v>
      </c>
      <c r="B180">
        <v>0</v>
      </c>
      <c r="C180">
        <v>100</v>
      </c>
      <c r="D180">
        <f>G2</f>
        <v>2.7069</v>
      </c>
      <c r="E180">
        <f t="shared" si="14"/>
        <v>-242.3423872229386</v>
      </c>
      <c r="F180">
        <f>SUM($D180:D$203)*E180</f>
        <v>-35274.98831203043</v>
      </c>
      <c r="G180">
        <f t="shared" si="13"/>
        <v>-984.5140027956157</v>
      </c>
      <c r="H180">
        <f t="shared" si="12"/>
        <v>984.5140027956157</v>
      </c>
    </row>
    <row r="181" spans="1:8" ht="12.75">
      <c r="A181">
        <v>220</v>
      </c>
      <c r="B181">
        <v>0</v>
      </c>
      <c r="C181">
        <v>100</v>
      </c>
      <c r="D181">
        <v>10</v>
      </c>
      <c r="E181">
        <f t="shared" si="14"/>
        <v>-242.3423872229386</v>
      </c>
      <c r="F181">
        <f>SUM($D181:D$203)*E181</f>
        <v>-34618.991704056665</v>
      </c>
      <c r="G181">
        <f t="shared" si="13"/>
        <v>-966.2053405609543</v>
      </c>
      <c r="H181">
        <f t="shared" si="12"/>
        <v>966.2053405609543</v>
      </c>
    </row>
    <row r="182" spans="1:8" ht="12.75">
      <c r="A182">
        <v>200</v>
      </c>
      <c r="B182">
        <v>0</v>
      </c>
      <c r="C182">
        <v>80</v>
      </c>
      <c r="D182">
        <f>G2</f>
        <v>2.7069</v>
      </c>
      <c r="E182">
        <f t="shared" si="14"/>
        <v>-242.3423872229386</v>
      </c>
      <c r="F182">
        <f>SUM($D182:D$203)*E182</f>
        <v>-32195.56783182727</v>
      </c>
      <c r="G182">
        <f t="shared" si="13"/>
        <v>-898.5683305692228</v>
      </c>
      <c r="H182">
        <f t="shared" si="12"/>
        <v>898.5683305692228</v>
      </c>
    </row>
    <row r="183" spans="1:8" ht="12.75">
      <c r="A183">
        <v>200</v>
      </c>
      <c r="B183">
        <v>0</v>
      </c>
      <c r="C183">
        <v>80</v>
      </c>
      <c r="D183">
        <v>10</v>
      </c>
      <c r="E183">
        <f t="shared" si="14"/>
        <v>-242.3423872229386</v>
      </c>
      <c r="F183">
        <f>SUM($D183:D$203)*E183</f>
        <v>-31539.571223853505</v>
      </c>
      <c r="G183">
        <f t="shared" si="13"/>
        <v>-880.2596683345613</v>
      </c>
      <c r="H183">
        <f t="shared" si="12"/>
        <v>880.2596683345613</v>
      </c>
    </row>
    <row r="184" spans="1:8" ht="12.75">
      <c r="A184">
        <v>180</v>
      </c>
      <c r="B184">
        <v>0</v>
      </c>
      <c r="C184">
        <v>60</v>
      </c>
      <c r="D184">
        <f>G2</f>
        <v>2.7069</v>
      </c>
      <c r="E184">
        <f t="shared" si="14"/>
        <v>-242.3423872229386</v>
      </c>
      <c r="F184">
        <f>SUM($D184:D$203)*E184</f>
        <v>-29116.147351624113</v>
      </c>
      <c r="G184">
        <f t="shared" si="13"/>
        <v>-812.6226583428299</v>
      </c>
      <c r="H184">
        <f t="shared" si="12"/>
        <v>812.6226583428299</v>
      </c>
    </row>
    <row r="185" spans="1:8" ht="12.75">
      <c r="A185">
        <v>180</v>
      </c>
      <c r="B185">
        <v>0</v>
      </c>
      <c r="C185">
        <v>60</v>
      </c>
      <c r="D185">
        <v>10</v>
      </c>
      <c r="E185">
        <f t="shared" si="14"/>
        <v>-242.3423872229386</v>
      </c>
      <c r="F185">
        <f>SUM($D185:D$203)*E185</f>
        <v>-28460.150743650345</v>
      </c>
      <c r="G185">
        <f t="shared" si="13"/>
        <v>-794.3139961081683</v>
      </c>
      <c r="H185">
        <f t="shared" si="12"/>
        <v>794.3139961081683</v>
      </c>
    </row>
    <row r="186" spans="1:8" ht="12.75">
      <c r="A186">
        <v>160</v>
      </c>
      <c r="B186">
        <v>0</v>
      </c>
      <c r="C186">
        <v>40</v>
      </c>
      <c r="D186">
        <f>G2</f>
        <v>2.7069</v>
      </c>
      <c r="E186">
        <f t="shared" si="14"/>
        <v>-242.3423872229386</v>
      </c>
      <c r="F186">
        <f>SUM($D186:D$203)*E186</f>
        <v>-26036.726871420953</v>
      </c>
      <c r="G186">
        <f t="shared" si="13"/>
        <v>-726.676986116437</v>
      </c>
      <c r="H186">
        <f t="shared" si="12"/>
        <v>726.676986116437</v>
      </c>
    </row>
    <row r="187" spans="1:8" ht="12.75">
      <c r="A187">
        <v>160</v>
      </c>
      <c r="B187">
        <v>0</v>
      </c>
      <c r="C187">
        <v>40</v>
      </c>
      <c r="D187">
        <v>10</v>
      </c>
      <c r="E187">
        <f t="shared" si="14"/>
        <v>-242.3423872229386</v>
      </c>
      <c r="F187">
        <f>SUM($D187:D$203)*E187</f>
        <v>-25380.730263447185</v>
      </c>
      <c r="G187">
        <f t="shared" si="13"/>
        <v>-708.3683238817753</v>
      </c>
      <c r="H187">
        <f t="shared" si="12"/>
        <v>708.3683238817753</v>
      </c>
    </row>
    <row r="188" spans="1:8" ht="12.75">
      <c r="A188">
        <v>140</v>
      </c>
      <c r="B188">
        <v>0</v>
      </c>
      <c r="C188">
        <v>20</v>
      </c>
      <c r="D188">
        <f>G2</f>
        <v>2.7069</v>
      </c>
      <c r="E188">
        <f t="shared" si="14"/>
        <v>-242.3423872229386</v>
      </c>
      <c r="F188">
        <f>SUM($D188:D$203)*E188</f>
        <v>-22957.306391217793</v>
      </c>
      <c r="G188">
        <f t="shared" si="13"/>
        <v>-640.731313890044</v>
      </c>
      <c r="H188">
        <f t="shared" si="12"/>
        <v>640.731313890044</v>
      </c>
    </row>
    <row r="189" spans="1:8" ht="12.75">
      <c r="A189">
        <v>140</v>
      </c>
      <c r="B189">
        <v>0</v>
      </c>
      <c r="C189">
        <v>20</v>
      </c>
      <c r="D189">
        <v>10</v>
      </c>
      <c r="E189">
        <f t="shared" si="14"/>
        <v>-242.3423872229386</v>
      </c>
      <c r="F189">
        <f>SUM($D189:D$203)*E189</f>
        <v>-22301.309783244025</v>
      </c>
      <c r="G189">
        <f t="shared" si="13"/>
        <v>-622.4226516553823</v>
      </c>
      <c r="H189">
        <f t="shared" si="12"/>
        <v>622.4226516553823</v>
      </c>
    </row>
    <row r="190" spans="1:8" ht="12.75">
      <c r="A190">
        <v>120</v>
      </c>
      <c r="B190">
        <v>0</v>
      </c>
      <c r="D190">
        <f>E2</f>
        <v>5.65965</v>
      </c>
      <c r="E190">
        <f t="shared" si="14"/>
        <v>-242.3423872229386</v>
      </c>
      <c r="F190">
        <f>SUM($D190:D$203)*E190</f>
        <v>-19877.885911014633</v>
      </c>
      <c r="G190">
        <f t="shared" si="13"/>
        <v>-554.7856416636511</v>
      </c>
      <c r="H190">
        <f t="shared" si="12"/>
        <v>554.7856416636511</v>
      </c>
    </row>
    <row r="191" spans="1:8" ht="12.75">
      <c r="A191">
        <v>120</v>
      </c>
      <c r="B191">
        <v>0</v>
      </c>
      <c r="D191">
        <v>10</v>
      </c>
      <c r="E191">
        <f t="shared" si="14"/>
        <v>-242.3423872229386</v>
      </c>
      <c r="F191">
        <f>SUM($D191:D$203)*E191</f>
        <v>-18506.31281916833</v>
      </c>
      <c r="G191">
        <f t="shared" si="13"/>
        <v>-516.5054613036809</v>
      </c>
      <c r="H191">
        <f t="shared" si="12"/>
        <v>516.5054613036809</v>
      </c>
    </row>
    <row r="192" spans="1:8" ht="12.75">
      <c r="A192">
        <v>100</v>
      </c>
      <c r="B192">
        <v>0</v>
      </c>
      <c r="D192">
        <f>G2</f>
        <v>2.7069</v>
      </c>
      <c r="E192">
        <f t="shared" si="14"/>
        <v>-242.3423872229386</v>
      </c>
      <c r="F192">
        <f>SUM($D192:D$203)*E192</f>
        <v>-16082.888946938943</v>
      </c>
      <c r="G192">
        <f t="shared" si="13"/>
        <v>-448.8684513119497</v>
      </c>
      <c r="H192">
        <f t="shared" si="12"/>
        <v>448.8684513119497</v>
      </c>
    </row>
    <row r="193" spans="1:8" ht="12.75">
      <c r="A193">
        <v>100</v>
      </c>
      <c r="B193">
        <v>0</v>
      </c>
      <c r="D193">
        <v>10</v>
      </c>
      <c r="E193">
        <f t="shared" si="14"/>
        <v>-242.3423872229386</v>
      </c>
      <c r="F193">
        <f>SUM($D193:D$203)*E193</f>
        <v>-15426.892338965172</v>
      </c>
      <c r="G193">
        <f t="shared" si="13"/>
        <v>-430.559789077288</v>
      </c>
      <c r="H193">
        <f t="shared" si="12"/>
        <v>430.559789077288</v>
      </c>
    </row>
    <row r="194" spans="1:8" ht="12.75">
      <c r="A194">
        <v>80</v>
      </c>
      <c r="B194">
        <v>0</v>
      </c>
      <c r="D194">
        <f>G2</f>
        <v>2.7069</v>
      </c>
      <c r="E194">
        <f t="shared" si="14"/>
        <v>-242.3423872229386</v>
      </c>
      <c r="F194">
        <f>SUM($D194:D$203)*E194</f>
        <v>-13003.468466735785</v>
      </c>
      <c r="G194">
        <f t="shared" si="13"/>
        <v>-362.9227790855568</v>
      </c>
      <c r="H194">
        <f t="shared" si="12"/>
        <v>362.9227790855568</v>
      </c>
    </row>
    <row r="195" spans="1:8" ht="12.75">
      <c r="A195">
        <v>80</v>
      </c>
      <c r="B195">
        <v>0</v>
      </c>
      <c r="D195">
        <v>10</v>
      </c>
      <c r="E195">
        <f t="shared" si="14"/>
        <v>-242.3423872229386</v>
      </c>
      <c r="F195">
        <f>SUM($D195:D$203)*E195</f>
        <v>-12347.471858762014</v>
      </c>
      <c r="G195">
        <f t="shared" si="13"/>
        <v>-344.6141168508951</v>
      </c>
      <c r="H195">
        <f t="shared" si="12"/>
        <v>344.6141168508951</v>
      </c>
    </row>
    <row r="196" spans="1:8" ht="12.75">
      <c r="A196">
        <v>60</v>
      </c>
      <c r="B196">
        <v>0</v>
      </c>
      <c r="D196">
        <f>G2</f>
        <v>2.7069</v>
      </c>
      <c r="E196">
        <f t="shared" si="14"/>
        <v>-242.3423872229386</v>
      </c>
      <c r="F196">
        <f>SUM($D196:D$203)*E196</f>
        <v>-9924.047986532629</v>
      </c>
      <c r="G196">
        <f t="shared" si="13"/>
        <v>-276.9771068591639</v>
      </c>
      <c r="H196">
        <f t="shared" si="12"/>
        <v>276.9771068591639</v>
      </c>
    </row>
    <row r="197" spans="1:8" ht="12.75">
      <c r="A197">
        <v>60</v>
      </c>
      <c r="B197">
        <v>0</v>
      </c>
      <c r="D197">
        <f>(A197-A198)*0.5</f>
        <v>10</v>
      </c>
      <c r="E197">
        <f t="shared" si="14"/>
        <v>-242.3423872229386</v>
      </c>
      <c r="F197">
        <f>SUM($D197:D$203)*E197</f>
        <v>-9268.051378558856</v>
      </c>
      <c r="G197">
        <f t="shared" si="13"/>
        <v>-258.6684446245021</v>
      </c>
      <c r="H197">
        <f t="shared" si="12"/>
        <v>258.6684446245021</v>
      </c>
    </row>
    <row r="198" spans="1:8" ht="12.75">
      <c r="A198">
        <v>40</v>
      </c>
      <c r="B198">
        <v>0</v>
      </c>
      <c r="D198">
        <f>G2</f>
        <v>2.7069</v>
      </c>
      <c r="E198">
        <f t="shared" si="14"/>
        <v>-242.3423872229386</v>
      </c>
      <c r="F198">
        <f>SUM($D198:D$203)*E198</f>
        <v>-6844.62750632947</v>
      </c>
      <c r="G198">
        <f t="shared" si="13"/>
        <v>-191.03143463277095</v>
      </c>
      <c r="H198">
        <f t="shared" si="12"/>
        <v>191.03143463277095</v>
      </c>
    </row>
    <row r="199" spans="1:8" ht="12.75">
      <c r="A199">
        <v>40</v>
      </c>
      <c r="B199">
        <v>0</v>
      </c>
      <c r="D199">
        <f>(A199-A200)*0.5</f>
        <v>10</v>
      </c>
      <c r="E199">
        <f t="shared" si="14"/>
        <v>-242.3423872229386</v>
      </c>
      <c r="F199">
        <f>SUM($D199:D$203)*E199</f>
        <v>-6188.630898355697</v>
      </c>
      <c r="G199">
        <f t="shared" si="13"/>
        <v>-172.7227723981092</v>
      </c>
      <c r="H199">
        <f>ABS(G199)</f>
        <v>172.7227723981092</v>
      </c>
    </row>
    <row r="200" spans="1:8" ht="12.75">
      <c r="A200">
        <v>20</v>
      </c>
      <c r="B200">
        <v>0</v>
      </c>
      <c r="D200">
        <f>G2</f>
        <v>2.7069</v>
      </c>
      <c r="E200">
        <f t="shared" si="14"/>
        <v>-242.3423872229386</v>
      </c>
      <c r="F200">
        <f>SUM($D200:D$203)*E200</f>
        <v>-3765.207026126311</v>
      </c>
      <c r="G200">
        <f t="shared" si="13"/>
        <v>-105.08576240637801</v>
      </c>
      <c r="H200">
        <f>ABS(G200)</f>
        <v>105.08576240637801</v>
      </c>
    </row>
    <row r="201" spans="1:8" ht="12.75">
      <c r="A201">
        <v>20</v>
      </c>
      <c r="B201">
        <v>0</v>
      </c>
      <c r="D201">
        <f>(A201-A202)*0.5</f>
        <v>10</v>
      </c>
      <c r="E201">
        <f t="shared" si="14"/>
        <v>-242.3423872229386</v>
      </c>
      <c r="F201">
        <f>SUM($D201:D$203)*E201</f>
        <v>-3109.2104181525383</v>
      </c>
      <c r="G201">
        <f t="shared" si="13"/>
        <v>-86.77710017171628</v>
      </c>
      <c r="H201">
        <f>ABS(G201)</f>
        <v>86.77710017171628</v>
      </c>
    </row>
    <row r="202" spans="1:8" ht="12.75">
      <c r="A202">
        <v>0</v>
      </c>
      <c r="B202">
        <v>0</v>
      </c>
      <c r="D202">
        <f>E2/2</f>
        <v>2.829825</v>
      </c>
      <c r="E202">
        <f t="shared" si="14"/>
        <v>-242.3423872229386</v>
      </c>
      <c r="F202">
        <f>SUM($D202:D$203)*E202</f>
        <v>-685.7865459231523</v>
      </c>
      <c r="G202">
        <f t="shared" si="13"/>
        <v>-19.140090179985076</v>
      </c>
      <c r="H202">
        <f>ABS(G202)</f>
        <v>19.140090179985076</v>
      </c>
    </row>
    <row r="203" spans="1:8" ht="12.75">
      <c r="A203">
        <v>0</v>
      </c>
      <c r="B203">
        <v>0</v>
      </c>
      <c r="D203">
        <v>0</v>
      </c>
      <c r="E203">
        <f>-$M$2</f>
        <v>-242.3423872229386</v>
      </c>
      <c r="F203">
        <f>D203*E203</f>
        <v>0</v>
      </c>
      <c r="G203">
        <f>F203*$I$2/$K$2/$B$2</f>
        <v>0</v>
      </c>
      <c r="H203">
        <f>ABS(G203)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 Malinoski</dc:creator>
  <cp:keywords/>
  <dc:description/>
  <cp:lastModifiedBy>dave burke</cp:lastModifiedBy>
  <cp:lastPrinted>2002-02-14T18:24:51Z</cp:lastPrinted>
  <dcterms:created xsi:type="dcterms:W3CDTF">2002-02-12T21:11:49Z</dcterms:created>
  <dcterms:modified xsi:type="dcterms:W3CDTF">2003-02-05T18:54:58Z</dcterms:modified>
  <cp:category/>
  <cp:version/>
  <cp:contentType/>
  <cp:contentStatus/>
</cp:coreProperties>
</file>