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35" windowHeight="600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<sst xmlns="http://schemas.openxmlformats.org/spreadsheetml/2006/main" count="137" uniqueCount="75">
  <si>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</si>
  <si>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</si>
  <si>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</si>
  <si>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</si>
  <si>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</si>
  <si>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</si>
  <si>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</si>
  <si>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A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</si>
  <si>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</si>
  <si>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</si>
  <si>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</si>
  <si>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</si>
  <si>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</si>
  <si>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</si>
  <si>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</si>
  <si>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</si>
  <si>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</si>
  <si>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</si>
  <si>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</si>
  <si>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</si>
  <si>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</si>
  <si>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</si>
  <si>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</si>
  <si>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</si>
  <si>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</si>
  <si>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</si>
  <si>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</si>
  <si>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</si>
  <si>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</si>
  <si>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</si>
  <si>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</si>
  <si>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</si>
  <si>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</si>
  <si>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</si>
  <si>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</si>
  <si>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</si>
  <si>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</si>
  <si>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</si>
  <si>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</si>
  <si>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</si>
  <si>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</si>
  <si>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</si>
  <si>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</si>
  <si>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</si>
  <si>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</si>
  <si>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</si>
  <si>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</si>
  <si>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</si>
  <si>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</si>
  <si>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</si>
  <si>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</si>
  <si>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</si>
  <si>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</si>
  <si>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</si>
  <si>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</si>
  <si>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</si>
  <si>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</si>
  <si>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</si>
  <si>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</si>
  <si>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3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</si>
  <si>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</si>
  <si>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</si>
  <si>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</si>
  <si>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</si>
  <si>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</si>
  <si>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</si>
  <si>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</si>
  <si>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</si>
  <si>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</si>
  <si>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</si>
  <si>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</si>
  <si>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</si>
  <si>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</si>
  <si>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B3</t>
  </si>
  <si>
    <t>A3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</si>
</sst>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Plots'!$A$34:$A$43</c:f>
              <c:strCache>
                <c:ptCount val="10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Plots'!$B$34:$B$42</c:f>
              <c:numCache>
                <c:ptCount val="9"/>
                <c:pt idx="1">
                  <c:v>536.129166666667</c:v>
                </c:pt>
                <c:pt idx="2">
                  <c:v>901.1412499999997</c:v>
                </c:pt>
                <c:pt idx="4">
                  <c:v>720.8079166666669</c:v>
                </c:pt>
                <c:pt idx="5">
                  <c:v>716.4624999999999</c:v>
                </c:pt>
                <c:pt idx="7">
                  <c:v>709.5824999999998</c:v>
                </c:pt>
                <c:pt idx="8">
                  <c:v>727.687916666667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718.6352083333334</c:v>
                </c:pt>
                <c:pt idx="1">
                  <c:v>718.6352083333334</c:v>
                </c:pt>
                <c:pt idx="2">
                  <c:v>718.6352083333334</c:v>
                </c:pt>
                <c:pt idx="3">
                  <c:v>718.6352083333334</c:v>
                </c:pt>
                <c:pt idx="4">
                  <c:v>718.6352083333334</c:v>
                </c:pt>
                <c:pt idx="5">
                  <c:v>718.6352083333334</c:v>
                </c:pt>
                <c:pt idx="6">
                  <c:v>718.6352083333334</c:v>
                </c:pt>
                <c:pt idx="7">
                  <c:v>718.6352083333334</c:v>
                </c:pt>
                <c:pt idx="8">
                  <c:v>718.6352083333334</c:v>
                </c:pt>
              </c:numCache>
            </c:numRef>
          </c:val>
          <c:smooth val="0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57888"/>
        <c:crosses val="autoZero"/>
        <c:auto val="0"/>
        <c:lblOffset val="100"/>
        <c:noMultiLvlLbl val="0"/>
      </c:catAx>
      <c:valAx>
        <c:axId val="2215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143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37.199999999999996</c:v>
                </c:pt>
                <c:pt idx="2">
                  <c:v>50.4375</c:v>
                </c:pt>
                <c:pt idx="4">
                  <c:v>42.8875</c:v>
                </c:pt>
                <c:pt idx="5">
                  <c:v>44.75</c:v>
                </c:pt>
                <c:pt idx="7">
                  <c:v>44.025</c:v>
                </c:pt>
                <c:pt idx="8">
                  <c:v>43.6125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43.818749999999994</c:v>
                </c:pt>
                <c:pt idx="1">
                  <c:v>43.818749999999994</c:v>
                </c:pt>
                <c:pt idx="2">
                  <c:v>43.818749999999994</c:v>
                </c:pt>
                <c:pt idx="3">
                  <c:v>43.818749999999994</c:v>
                </c:pt>
                <c:pt idx="4">
                  <c:v>43.818749999999994</c:v>
                </c:pt>
                <c:pt idx="5">
                  <c:v>43.818749999999994</c:v>
                </c:pt>
                <c:pt idx="6">
                  <c:v>43.818749999999994</c:v>
                </c:pt>
                <c:pt idx="7">
                  <c:v>43.818749999999994</c:v>
                </c:pt>
                <c:pt idx="8">
                  <c:v>43.818749999999994</c:v>
                </c:pt>
              </c:numCache>
            </c:numRef>
          </c:val>
          <c:smooth val="0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58474"/>
        <c:crosses val="autoZero"/>
        <c:auto val="0"/>
        <c:lblOffset val="100"/>
        <c:noMultiLvlLbl val="0"/>
      </c:catAx>
      <c:valAx>
        <c:axId val="4995847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52032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37.199999999999996</c:v>
                </c:pt>
                <c:pt idx="1">
                  <c:v>42.8875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50.4375</c:v>
                </c:pt>
                <c:pt idx="1">
                  <c:v>63</c:v>
                </c:pt>
              </c:numCache>
            </c:numRef>
          </c:val>
          <c:smooth val="0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Plots'!$H$35:$J$35</c:f>
              <c:numCache>
                <c:ptCount val="3"/>
                <c:pt idx="0">
                  <c:v>37.199999999999996</c:v>
                </c:pt>
                <c:pt idx="1">
                  <c:v>42.8875</c:v>
                </c:pt>
                <c:pt idx="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Plots'!$H$36:$J$36</c:f>
              <c:numCache>
                <c:ptCount val="3"/>
                <c:pt idx="0">
                  <c:v>50.4375</c:v>
                </c:pt>
                <c:pt idx="1">
                  <c:v>63</c:v>
                </c:pt>
                <c:pt idx="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'Response Plots'!$G$37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Plots'!$H$37:$J$37</c:f>
              <c:numCache>
                <c:ptCount val="3"/>
                <c:pt idx="0">
                  <c:v>40.1</c:v>
                </c:pt>
                <c:pt idx="1">
                  <c:v>34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3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10</xdr:row>
      <xdr:rowOff>47625</xdr:rowOff>
    </xdr:from>
    <xdr:to>
      <xdr:col>19</xdr:col>
      <xdr:colOff>114300</xdr:colOff>
      <xdr:row>31</xdr:row>
      <xdr:rowOff>57150</xdr:rowOff>
    </xdr:to>
    <xdr:graphicFrame>
      <xdr:nvGraphicFramePr>
        <xdr:cNvPr id="4" name="Chart 9"/>
        <xdr:cNvGraphicFramePr/>
      </xdr:nvGraphicFramePr>
      <xdr:xfrm>
        <a:off x="4676775" y="1800225"/>
        <a:ext cx="53625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zoomScale="85" zoomScaleNormal="85" workbookViewId="0" topLeftCell="A1">
      <selection activeCell="H19" sqref="H19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65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A</v>
      </c>
      <c r="S6" t="str">
        <f>IF(ISBLANK(C7),"",C7)</f>
        <v>B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7</v>
      </c>
      <c r="C7" s="94" t="s">
        <v>60</v>
      </c>
      <c r="D7" s="353" t="s">
        <v>61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8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9</v>
      </c>
      <c r="B8" s="76" t="s">
        <v>16</v>
      </c>
      <c r="C8" s="77" t="s">
        <v>16</v>
      </c>
      <c r="D8" s="354" t="s">
        <v>16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10</v>
      </c>
      <c r="R8" s="198" t="str">
        <f>IF(R7="","",IF(R7=1,'Experimental Plan and Data'!B8,IF(R7=2,'Experimental Plan and Data'!B9,"")))</f>
        <v>1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11</v>
      </c>
      <c r="B9" s="78" t="s">
        <v>17</v>
      </c>
      <c r="C9" s="79" t="s">
        <v>17</v>
      </c>
      <c r="D9" s="355" t="s">
        <v>59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12</v>
      </c>
      <c r="B12" s="257" t="str">
        <f>IF(ISBLANK('Experimental Plan and Data'!B7),"c1",'Experimental Plan and Data'!B7)</f>
        <v>A</v>
      </c>
      <c r="C12" s="258" t="str">
        <f>IF(ISBLANK('Experimental Plan and Data'!C7),"c2",'Experimental Plan and Data'!C7)</f>
        <v>B</v>
      </c>
      <c r="D12" s="259" t="str">
        <f>IF(ISBLANK('Experimental Plan and Data'!D7),"c3",'Experimental Plan and Data'!D7)</f>
        <v>C</v>
      </c>
      <c r="E12" s="27" t="s">
        <v>62</v>
      </c>
      <c r="F12" s="28"/>
      <c r="G12" s="28"/>
      <c r="H12" s="277"/>
      <c r="I12" s="54"/>
      <c r="J12" s="434" t="s">
        <v>63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1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46.6</v>
      </c>
      <c r="F13" s="316">
        <v>49</v>
      </c>
      <c r="G13" s="316">
        <v>48.3</v>
      </c>
      <c r="H13" s="317"/>
      <c r="I13" s="318"/>
      <c r="J13" s="319">
        <v>2</v>
      </c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1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3</v>
      </c>
      <c r="E14" s="321">
        <v>50.8</v>
      </c>
      <c r="F14" s="322">
        <v>49.4</v>
      </c>
      <c r="G14" s="322">
        <v>48.5</v>
      </c>
      <c r="H14" s="323"/>
      <c r="I14" s="324"/>
      <c r="J14" s="325">
        <v>3</v>
      </c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2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3</v>
      </c>
      <c r="E15" s="321">
        <v>64.7</v>
      </c>
      <c r="F15" s="322">
        <v>63.6</v>
      </c>
      <c r="G15" s="322">
        <v>64.9</v>
      </c>
      <c r="H15" s="323"/>
      <c r="I15" s="324"/>
      <c r="J15" s="325">
        <v>4</v>
      </c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2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66.3</v>
      </c>
      <c r="F16" s="328">
        <v>69.7</v>
      </c>
      <c r="G16" s="328">
        <v>63.3</v>
      </c>
      <c r="H16" s="329"/>
      <c r="I16" s="330"/>
      <c r="J16" s="331">
        <v>7</v>
      </c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s="303"/>
      <c r="R17" s="303"/>
      <c r="S17" s="304"/>
      <c r="T17" s="304"/>
      <c r="U17" s="304"/>
      <c r="V17" s="303"/>
      <c r="W17" s="303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 s="303"/>
      <c r="R18" s="303"/>
      <c r="S18" s="304"/>
      <c r="T18" s="304"/>
      <c r="U18" s="304"/>
      <c r="V18" s="303"/>
      <c r="W18" s="303"/>
      <c r="X18" s="304"/>
      <c r="Y18" s="304"/>
      <c r="Z18" s="304"/>
      <c r="AA18" s="303"/>
      <c r="AB18" s="303"/>
      <c r="AC18" s="347"/>
    </row>
    <row r="19" spans="1:29" ht="12.75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s="303"/>
      <c r="R19" s="303"/>
      <c r="S19" s="304"/>
      <c r="T19" s="304"/>
      <c r="U19" s="304"/>
      <c r="V19" s="303"/>
      <c r="W19" s="303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46"/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303"/>
      <c r="R20" s="303"/>
      <c r="S20" s="304"/>
      <c r="T20" s="304"/>
      <c r="U20" s="304"/>
      <c r="V20" s="303"/>
      <c r="W20" s="303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321">
        <v>46.6</v>
      </c>
      <c r="F21" s="322">
        <v>49</v>
      </c>
      <c r="G21" s="322">
        <v>48.3</v>
      </c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E22" s="321">
        <v>50.8</v>
      </c>
      <c r="F22" s="322">
        <v>49.4</v>
      </c>
      <c r="G22" s="322">
        <v>48.5</v>
      </c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5:7" ht="12.75">
      <c r="E23" s="315">
        <v>64.7</v>
      </c>
      <c r="F23" s="316">
        <v>63.6</v>
      </c>
      <c r="G23" s="316">
        <v>64.9</v>
      </c>
    </row>
    <row r="24" spans="5:7" ht="13.5" thickBot="1">
      <c r="E24" s="327">
        <v>66.3</v>
      </c>
      <c r="F24" s="328">
        <v>69.7</v>
      </c>
      <c r="G24" s="328">
        <v>63.3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65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67</v>
      </c>
      <c r="O3" s="312" t="s">
        <v>67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12</v>
      </c>
      <c r="C4" s="232" t="s">
        <v>62</v>
      </c>
      <c r="D4" s="233"/>
      <c r="E4" s="233"/>
      <c r="F4" s="309"/>
      <c r="G4" s="234"/>
      <c r="H4" s="436" t="s">
        <v>63</v>
      </c>
      <c r="I4" s="233"/>
      <c r="J4" s="233"/>
      <c r="K4" s="309"/>
      <c r="L4" s="235"/>
      <c r="M4" s="471" t="s">
        <v>66</v>
      </c>
      <c r="N4" s="16" t="s">
        <v>13</v>
      </c>
      <c r="O4" s="11" t="s">
        <v>14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46.6</v>
      </c>
      <c r="D5" s="341">
        <f>IF('Experimental Plan and Data'!F13="","",'Experimental Plan and Data'!F13)</f>
        <v>49</v>
      </c>
      <c r="E5" s="341">
        <f>IF('Experimental Plan and Data'!G13="","",'Experimental Plan and Data'!G13)</f>
        <v>48.3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  <v>2</v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36.474999999999994</v>
      </c>
      <c r="N5" s="391">
        <f>VAR(C5:L5)</f>
        <v>529.2491666666668</v>
      </c>
      <c r="O5" s="131">
        <f>10*LOG(M5^2/N5)</f>
        <v>4.003304182606966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50.8</v>
      </c>
      <c r="D6" s="368">
        <f>IF('Experimental Plan and Data'!F14="","",'Experimental Plan and Data'!F14)</f>
        <v>49.4</v>
      </c>
      <c r="E6" s="368">
        <f>IF('Experimental Plan and Data'!G14="","",'Experimental Plan and Data'!G14)</f>
        <v>48.5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  <v>3</v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37.925</v>
      </c>
      <c r="N6" s="387">
        <f>IF(OR(ISBLANK(N$3),ISBLANK(N$5)),"",VAR($C6:$L6))</f>
        <v>543.009166666667</v>
      </c>
      <c r="O6" s="389">
        <f>IF(OR(ISBLANK(O$3),ISBLANK(O$5)),"",10*LOG(M6^2/N6))</f>
        <v>4.230440178385448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64.7</v>
      </c>
      <c r="D7" s="368">
        <f>IF('Experimental Plan and Data'!F15="","",'Experimental Plan and Data'!F15)</f>
        <v>63.6</v>
      </c>
      <c r="E7" s="368">
        <f>IF('Experimental Plan and Data'!G15="","",'Experimental Plan and Data'!G15)</f>
        <v>64.9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  <v>4</v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49.300000000000004</v>
      </c>
      <c r="N7" s="387">
        <f>IF(OR(ISBLANK(N$3),ISBLANK(N$5)),"",VAR($C7:$L7))</f>
        <v>912.3666666666668</v>
      </c>
      <c r="O7" s="389">
        <f>IF(OR(ISBLANK(O$3),ISBLANK(O$5)),"",10*LOG(M7^2/N7))</f>
        <v>4.255244286170742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66.3</v>
      </c>
      <c r="D8" s="371">
        <f>IF('Experimental Plan and Data'!F16="","",'Experimental Plan and Data'!F16)</f>
        <v>69.7</v>
      </c>
      <c r="E8" s="371">
        <f>IF('Experimental Plan and Data'!G16="","",'Experimental Plan and Data'!G16)</f>
        <v>63.3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  <v>7</v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51.575</v>
      </c>
      <c r="N8" s="388">
        <f>IF(OR(ISBLANK(N$3),ISBLANK(N$5)),"",VAR($C8:$L8))</f>
        <v>889.9158333333326</v>
      </c>
      <c r="O8" s="390">
        <f>IF(OR(ISBLANK(O$3),ISBLANK(O$5)),"",10*LOG(M8^2/N8))</f>
        <v>4.755295395077173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65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15</v>
      </c>
      <c r="B3" s="261" t="str">
        <f>'Experimental Plan and Data'!B12</f>
        <v>A</v>
      </c>
      <c r="C3" s="262" t="str">
        <f>'Experimental Plan and Data'!C12</f>
        <v>B</v>
      </c>
      <c r="D3" s="262" t="str">
        <f>'Experimental Plan and Data'!D12</f>
        <v>C</v>
      </c>
      <c r="E3" s="263" t="s">
        <v>66</v>
      </c>
      <c r="F3" s="264" t="s">
        <v>14</v>
      </c>
      <c r="G3" s="393"/>
      <c r="H3" s="422"/>
    </row>
    <row r="4" spans="1:16" ht="12.75">
      <c r="A4" s="350">
        <v>1</v>
      </c>
      <c r="B4" s="394" t="s">
        <v>16</v>
      </c>
      <c r="C4" s="396" t="s">
        <v>16</v>
      </c>
      <c r="D4" s="399" t="s">
        <v>16</v>
      </c>
      <c r="E4" s="293">
        <f>'Calculating S|N'!M5</f>
        <v>36.474999999999994</v>
      </c>
      <c r="F4" s="294">
        <f>'Calculating S|N'!N5</f>
        <v>529.2491666666668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16</v>
      </c>
      <c r="C5" s="397" t="s">
        <v>17</v>
      </c>
      <c r="D5" s="400" t="s">
        <v>17</v>
      </c>
      <c r="E5" s="296">
        <f>'Calculating S|N'!M6</f>
        <v>37.925</v>
      </c>
      <c r="F5" s="297">
        <f>'Calculating S|N'!N6</f>
        <v>543.009166666667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17</v>
      </c>
      <c r="C6" s="397" t="s">
        <v>16</v>
      </c>
      <c r="D6" s="400" t="s">
        <v>17</v>
      </c>
      <c r="E6" s="296">
        <f>'Calculating S|N'!M7</f>
        <v>49.300000000000004</v>
      </c>
      <c r="F6" s="297">
        <f>'Calculating S|N'!N7</f>
        <v>912.3666666666668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17</v>
      </c>
      <c r="C7" s="398" t="s">
        <v>17</v>
      </c>
      <c r="D7" s="401" t="s">
        <v>16</v>
      </c>
      <c r="E7" s="298">
        <f>'Calculating S|N'!M8</f>
        <v>51.575</v>
      </c>
      <c r="F7" s="299">
        <f>'Calculating S|N'!N8</f>
        <v>889.9158333333326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18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69</v>
      </c>
      <c r="F10" s="300" t="s">
        <v>19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43.818749999999994</v>
      </c>
      <c r="F11" s="302">
        <f>AVERAGE(F4:F7)</f>
        <v>718.6352083333334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20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A</v>
      </c>
      <c r="C14" s="266" t="str">
        <f>C3</f>
        <v>B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21</v>
      </c>
      <c r="B15" s="133">
        <f>IF(OR(ISBLANK($E$15),ISBLANK($D15)),"",SUMIF(B$4:B$7,"1",$F$4:$F$7)/COUNTIF(B$4:B$7,"1"))</f>
        <v>536.129166666667</v>
      </c>
      <c r="C15" s="134">
        <f>IF(OR(ISBLANK($E$15),ISBLANK($D15)),"",SUMIF(C$4:C$7,"1",$F$4:$F$9)/COUNTIF(C$4:C$7,"1"))</f>
        <v>720.8079166666669</v>
      </c>
      <c r="D15" s="402">
        <f>AVERAGE(F4,F7)</f>
        <v>709.5824999999998</v>
      </c>
      <c r="E15" s="405" t="s">
        <v>67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22</v>
      </c>
      <c r="B16" s="135">
        <f>IF(OR(ISBLANK($E$15),ISBLANK($D16)),"",SUMIF(B$4:B$7,"2",$F$4:$F$9)/COUNTIF(B$4:B$7,"1"))</f>
        <v>901.1412499999997</v>
      </c>
      <c r="C16" s="136">
        <f>IF(OR(ISBLANK($E$15),ISBLANK($D16)),"",SUMIF(C$4:C$11,"2",$F$4:$F$9)/COUNTIF(C$4:C$11,"1"))</f>
        <v>716.4624999999999</v>
      </c>
      <c r="D16" s="403">
        <f>AVERAGE(F5,F6)</f>
        <v>727.687916666667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23</v>
      </c>
      <c r="B17" s="137">
        <f>IF(OR(ISBLANK($E$15),ISBLANK($D16)),"",B16-B15)</f>
        <v>365.0120833333327</v>
      </c>
      <c r="C17" s="138">
        <f>IF(OR(ISBLANK($E$15),ISBLANK($D16)),"",C16-C15)</f>
        <v>-4.345416666667006</v>
      </c>
      <c r="D17" s="139">
        <f>IF(OR(ISBLANK($E$15),ISBLANK($D16)),"",D16-D15)</f>
        <v>18.105416666667224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70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21</v>
      </c>
      <c r="B19" s="140">
        <f>IF(OR(ISBLANK($E$19),ISBLANK($D19)),"",SUMIF(B$4:B$11,"1",$E$4:$E$9)/COUNTIF(B$4:B$11,"1"))</f>
        <v>37.199999999999996</v>
      </c>
      <c r="C19" s="141">
        <f>IF(OR(ISBLANK($E$19),ISBLANK($D19)),"",SUMIF(C$4:C$11,"1",$E$4:$E$9)/COUNTIF(C$4:C$11,"1"))</f>
        <v>42.8875</v>
      </c>
      <c r="D19" s="419">
        <f>AVERAGE(E4,E7)</f>
        <v>44.025</v>
      </c>
      <c r="E19" s="414" t="s">
        <v>67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22</v>
      </c>
      <c r="B20" s="142">
        <f>IF(OR(ISBLANK($E$19),ISBLANK($D20)),"",SUMIF(B$4:B$11,"2",$E$4:$E$9)/COUNTIF(B$4:B$11,"1"))</f>
        <v>50.4375</v>
      </c>
      <c r="C20" s="143">
        <f>IF(OR(ISBLANK($E$19),ISBLANK($D20)),"",SUMIF(C$4:C$11,"2",$E$4:$E$9)/COUNTIF(C$4:C$11,"1"))</f>
        <v>44.75</v>
      </c>
      <c r="D20" s="420">
        <f>AVERAGE(E5,E6)</f>
        <v>43.6125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23</v>
      </c>
      <c r="B21" s="144">
        <f>IF(OR(ISBLANK($E$19),ISBLANK($D20)),"",B20-B19)</f>
        <v>13.237500000000004</v>
      </c>
      <c r="C21" s="145">
        <f>IF(OR(ISBLANK($E$19),ISBLANK($D20)),"",C20-C19)</f>
        <v>1.8624999999999972</v>
      </c>
      <c r="D21" s="146">
        <f>IF(OR(ISBLANK($E$19),ISBLANK($D20)),"",D20-D19)</f>
        <v>-0.4125000000000014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">
      <selection activeCell="K22" sqref="K2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65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24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25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A</v>
      </c>
      <c r="E23" s="84" t="str">
        <f>'Experimental Plan and Data'!C7</f>
        <v>B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26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27</v>
      </c>
      <c r="D25" s="251" t="str">
        <f>IF(D24="","",IF(D24=1,'Experimental Plan and Data'!B8,IF(D24=2,'Experimental Plan and Data'!B9,"")))</f>
        <v>2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28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29</v>
      </c>
      <c r="B33" s="151" t="s">
        <v>30</v>
      </c>
      <c r="C33" s="292" t="s">
        <v>31</v>
      </c>
      <c r="D33" s="151" t="s">
        <v>32</v>
      </c>
      <c r="E33" s="292" t="s">
        <v>33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718.6352083333334</v>
      </c>
      <c r="D34" s="199"/>
      <c r="E34" s="200">
        <f>'Response Tables'!E$11</f>
        <v>43.818749999999994</v>
      </c>
      <c r="H34" s="2" t="s">
        <v>71</v>
      </c>
      <c r="I34" s="2" t="s">
        <v>72</v>
      </c>
      <c r="J34" s="2" t="s">
        <v>73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A 1</v>
      </c>
      <c r="B35" s="99">
        <f>'Response Tables'!B15</f>
        <v>536.129166666667</v>
      </c>
      <c r="C35" s="152">
        <f>'Response Tables'!F$11</f>
        <v>718.6352083333334</v>
      </c>
      <c r="D35" s="201">
        <f>'Response Tables'!B19</f>
        <v>37.199999999999996</v>
      </c>
      <c r="E35" s="200">
        <f>'Response Tables'!E$11</f>
        <v>43.818749999999994</v>
      </c>
      <c r="G35" s="152" t="str">
        <f>CONCATENATE('Experimental Plan and Data'!B12," 1")</f>
        <v>A 1</v>
      </c>
      <c r="H35" s="99">
        <f>'Response Tables'!B19</f>
        <v>37.199999999999996</v>
      </c>
      <c r="I35" s="99">
        <f>'Response Tables'!C19</f>
        <v>42.8875</v>
      </c>
      <c r="J35" s="2">
        <v>15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A 2</v>
      </c>
      <c r="B36" s="99">
        <f>'Response Tables'!B16</f>
        <v>901.1412499999997</v>
      </c>
      <c r="C36" s="152">
        <f>'Response Tables'!F$11</f>
        <v>718.6352083333334</v>
      </c>
      <c r="D36" s="201">
        <f>'Response Tables'!B20</f>
        <v>50.4375</v>
      </c>
      <c r="E36" s="200">
        <f>'Response Tables'!E$11</f>
        <v>43.818749999999994</v>
      </c>
      <c r="G36" s="152" t="str">
        <f>CONCATENATE('Experimental Plan and Data'!B12," 2")</f>
        <v>A 2</v>
      </c>
      <c r="H36" s="99">
        <f>'Response Tables'!B20</f>
        <v>50.4375</v>
      </c>
      <c r="I36" s="99">
        <v>63</v>
      </c>
      <c r="J36" s="2">
        <v>17</v>
      </c>
      <c r="L36" s="152"/>
    </row>
    <row r="37" spans="1:10" ht="12.75">
      <c r="A37" s="152"/>
      <c r="B37" s="99"/>
      <c r="C37" s="152">
        <f>'Response Tables'!F$11</f>
        <v>718.6352083333334</v>
      </c>
      <c r="D37" s="201"/>
      <c r="E37" s="200">
        <f>'Response Tables'!E$11</f>
        <v>43.818749999999994</v>
      </c>
      <c r="G37" s="2" t="s">
        <v>74</v>
      </c>
      <c r="H37" s="2">
        <v>40.1</v>
      </c>
      <c r="I37" s="2">
        <v>34</v>
      </c>
      <c r="J37" s="2">
        <v>19</v>
      </c>
    </row>
    <row r="38" spans="1:5" ht="12.75">
      <c r="A38" s="152" t="str">
        <f>CONCATENATE('Experimental Plan and Data'!C12," 1")</f>
        <v>B 1</v>
      </c>
      <c r="B38" s="99">
        <f>'Response Tables'!C15</f>
        <v>720.8079166666669</v>
      </c>
      <c r="C38" s="152">
        <f>'Response Tables'!F$11</f>
        <v>718.6352083333334</v>
      </c>
      <c r="D38" s="201">
        <f>'Response Tables'!C19</f>
        <v>42.8875</v>
      </c>
      <c r="E38" s="200">
        <f>'Response Tables'!E$11</f>
        <v>43.818749999999994</v>
      </c>
    </row>
    <row r="39" spans="1:10" ht="12.75">
      <c r="A39" s="152" t="str">
        <f>CONCATENATE('Experimental Plan and Data'!C12," 2")</f>
        <v>B 2</v>
      </c>
      <c r="B39" s="99">
        <f>'Response Tables'!C16</f>
        <v>716.4624999999999</v>
      </c>
      <c r="C39" s="152">
        <f>'Response Tables'!F$11</f>
        <v>718.6352083333334</v>
      </c>
      <c r="D39" s="201">
        <f>'Response Tables'!C20</f>
        <v>44.75</v>
      </c>
      <c r="E39" s="200">
        <f>'Response Tables'!E$11</f>
        <v>43.818749999999994</v>
      </c>
      <c r="H39" s="209">
        <f>AVERAGE(H35:H37)</f>
        <v>42.57916666666666</v>
      </c>
      <c r="I39" s="209">
        <f>AVERAGE(I35:I37)</f>
        <v>46.62916666666666</v>
      </c>
      <c r="J39" s="209">
        <f>AVERAGE(J35:J37)</f>
        <v>17</v>
      </c>
    </row>
    <row r="40" spans="1:5" ht="12.75">
      <c r="A40" s="152"/>
      <c r="B40" s="99"/>
      <c r="C40" s="152">
        <f>'Response Tables'!F$11</f>
        <v>718.6352083333334</v>
      </c>
      <c r="D40" s="201"/>
      <c r="E40" s="200">
        <f>'Response Tables'!E$11</f>
        <v>43.818749999999994</v>
      </c>
    </row>
    <row r="41" spans="1:5" ht="12.75">
      <c r="A41" s="152" t="str">
        <f>CONCATENATE('Experimental Plan and Data'!D12," 1")</f>
        <v>C 1</v>
      </c>
      <c r="B41" s="99">
        <f>'Response Tables'!D15</f>
        <v>709.5824999999998</v>
      </c>
      <c r="C41" s="152">
        <f>'Response Tables'!F$11</f>
        <v>718.6352083333334</v>
      </c>
      <c r="D41" s="201">
        <f>'Response Tables'!D19</f>
        <v>44.025</v>
      </c>
      <c r="E41" s="200">
        <f>'Response Tables'!E$11</f>
        <v>43.818749999999994</v>
      </c>
    </row>
    <row r="42" spans="1:5" ht="12.75">
      <c r="A42" s="152" t="str">
        <f>CONCATENATE('Experimental Plan and Data'!D12," 2")</f>
        <v>C 2</v>
      </c>
      <c r="B42" s="99">
        <f>'Response Tables'!D16</f>
        <v>727.687916666667</v>
      </c>
      <c r="C42" s="152">
        <f>'Response Tables'!F$11</f>
        <v>718.6352083333334</v>
      </c>
      <c r="D42" s="201">
        <f>'Response Tables'!D20</f>
        <v>43.6125</v>
      </c>
      <c r="E42" s="200">
        <f>'Response Tables'!E$11</f>
        <v>43.818749999999994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34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65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35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14</v>
      </c>
      <c r="D4" s="189"/>
      <c r="E4" s="189"/>
      <c r="F4" s="96"/>
      <c r="G4" s="202" t="s">
        <v>68</v>
      </c>
      <c r="H4" s="189"/>
      <c r="I4" s="167"/>
    </row>
    <row r="5" spans="1:9" s="26" customFormat="1" ht="15">
      <c r="A5" s="186"/>
      <c r="B5" s="182"/>
      <c r="C5" s="160" t="s">
        <v>37</v>
      </c>
      <c r="D5" s="117"/>
      <c r="E5" s="182"/>
      <c r="F5" s="182"/>
      <c r="G5" s="160" t="s">
        <v>37</v>
      </c>
      <c r="H5" s="117"/>
      <c r="I5" s="187"/>
    </row>
    <row r="6" spans="1:9" s="119" customFormat="1" ht="14.25">
      <c r="A6" s="157" t="s">
        <v>6</v>
      </c>
      <c r="B6" s="158" t="s">
        <v>38</v>
      </c>
      <c r="C6" s="159" t="s">
        <v>39</v>
      </c>
      <c r="D6" s="172" t="s">
        <v>40</v>
      </c>
      <c r="E6" s="172"/>
      <c r="F6" s="159"/>
      <c r="G6" s="159" t="s">
        <v>39</v>
      </c>
      <c r="H6" s="172" t="s">
        <v>40</v>
      </c>
      <c r="I6" s="168"/>
    </row>
    <row r="7" spans="1:9" ht="12.75">
      <c r="A7" s="124" t="str">
        <f>'Experimental Plan and Data'!B7</f>
        <v>A</v>
      </c>
      <c r="B7" s="93">
        <f>'Experimental Plan and Data'!R7</f>
        <v>1</v>
      </c>
      <c r="C7" s="147" t="str">
        <f>CONCATENATE(A7,B7," avg - Tbar S/N")</f>
        <v>A1 avg - Tbar S/N</v>
      </c>
      <c r="D7" s="173">
        <f>IF(ISBLANK('Experimental Plan and Data'!$R$7),"",IF('Experimental Plan and Data'!$R$7=1,'Response Tables'!$B$15-'Response Tables'!$F$11,'Response Tables'!$B$16-'Response Tables'!$F$11))</f>
        <v>-182.50604166666642</v>
      </c>
      <c r="E7" s="173"/>
      <c r="F7" s="113"/>
      <c r="G7" s="147" t="str">
        <f>CONCATENATE(A7,B7," avg - Tbar Beta")</f>
        <v>A1 avg - Tbar Beta</v>
      </c>
      <c r="H7" s="180">
        <f>IF(ISBLANK('Experimental Plan and Data'!$R$7),"",IF('Experimental Plan and Data'!$R$7=1,'Response Tables'!$B$19-'Response Tables'!$E$11,'Response Tables'!$B$20-'Response Tables'!$E$11))</f>
        <v>-6.618749999999999</v>
      </c>
      <c r="I7" s="162"/>
    </row>
    <row r="8" spans="1:9" ht="12.75">
      <c r="A8" s="124" t="str">
        <f>'Experimental Plan and Data'!C7</f>
        <v>B</v>
      </c>
      <c r="B8" s="93">
        <f>'Experimental Plan and Data'!S7</f>
        <v>1</v>
      </c>
      <c r="C8" s="147" t="str">
        <f>CONCATENATE(A8,B8," avg - Tbar S/N")</f>
        <v>B1 avg - Tbar S/N</v>
      </c>
      <c r="D8" s="173">
        <f>IF(ISBLANK('Experimental Plan and Data'!$S$7),"",IF('Experimental Plan and Data'!$S$7=1,'Response Tables'!$C$15-'Response Tables'!$F$11,'Response Tables'!$C$16-'Response Tables'!$F$11))</f>
        <v>2.172708333333503</v>
      </c>
      <c r="E8" s="173"/>
      <c r="F8" s="97"/>
      <c r="G8" s="147" t="str">
        <f>CONCATENATE(A8,B8," avg - Tbar Beta")</f>
        <v>B1 avg - Tbar Beta</v>
      </c>
      <c r="H8" s="180">
        <f>IF(ISBLANK('Experimental Plan and Data'!$S$7),"",IF('Experimental Plan and Data'!$S$7=1,'Response Tables'!$C$19-'Response Tables'!$E$11,'Response Tables'!$C$20-'Response Tables'!$E$11))</f>
        <v>-0.9312499999999915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-9.052708333333612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0.20625000000000426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41</v>
      </c>
      <c r="D11" s="175">
        <f>SUM(D7:D10)</f>
        <v>-189.38604166666653</v>
      </c>
      <c r="E11" s="175"/>
      <c r="F11" s="97"/>
      <c r="G11" s="128" t="s">
        <v>41</v>
      </c>
      <c r="H11" s="178">
        <f>SUM(H7:H10)</f>
        <v>-7.343749999999986</v>
      </c>
      <c r="I11" s="162"/>
    </row>
    <row r="12" spans="1:9" s="91" customFormat="1" ht="15" thickBot="1">
      <c r="A12" s="121"/>
      <c r="B12" s="92"/>
      <c r="C12" s="166" t="s">
        <v>42</v>
      </c>
      <c r="D12" s="176">
        <f>'Response Tables'!F11</f>
        <v>718.6352083333334</v>
      </c>
      <c r="E12" s="183"/>
      <c r="F12" s="92"/>
      <c r="G12" s="166" t="s">
        <v>43</v>
      </c>
      <c r="H12" s="179">
        <f>'Response Tables'!E11</f>
        <v>43.818749999999994</v>
      </c>
      <c r="I12" s="169"/>
    </row>
    <row r="13" spans="1:9" ht="13.5" thickTop="1">
      <c r="A13" s="122"/>
      <c r="B13" s="268"/>
      <c r="C13" s="269" t="s">
        <v>44</v>
      </c>
      <c r="D13" s="274">
        <f>SUM(D11:D12)</f>
        <v>529.2491666666668</v>
      </c>
      <c r="E13" s="177"/>
      <c r="F13" s="270"/>
      <c r="G13" s="269" t="s">
        <v>45</v>
      </c>
      <c r="H13" s="275">
        <f>SUM(H11:H12)</f>
        <v>36.47500000000001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46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14</v>
      </c>
      <c r="D16" s="194"/>
      <c r="E16" s="189"/>
      <c r="F16" s="86"/>
      <c r="G16" s="202" t="s">
        <v>68</v>
      </c>
      <c r="H16" s="191"/>
      <c r="I16" s="162"/>
    </row>
    <row r="17" spans="1:9" s="26" customFormat="1" ht="15">
      <c r="A17" s="186"/>
      <c r="B17" s="182"/>
      <c r="C17" s="160" t="s">
        <v>37</v>
      </c>
      <c r="D17" s="150"/>
      <c r="E17" s="182"/>
      <c r="F17" s="182"/>
      <c r="G17" s="160" t="s">
        <v>37</v>
      </c>
      <c r="H17" s="192"/>
      <c r="I17" s="187"/>
    </row>
    <row r="18" spans="1:9" s="118" customFormat="1" ht="14.25">
      <c r="A18" s="157" t="s">
        <v>6</v>
      </c>
      <c r="B18" s="158" t="s">
        <v>38</v>
      </c>
      <c r="C18" s="159" t="s">
        <v>39</v>
      </c>
      <c r="D18" s="195" t="s">
        <v>40</v>
      </c>
      <c r="E18" s="172"/>
      <c r="F18" s="159"/>
      <c r="G18" s="159" t="s">
        <v>39</v>
      </c>
      <c r="H18" s="193" t="s">
        <v>40</v>
      </c>
      <c r="I18" s="163"/>
    </row>
    <row r="19" spans="1:9" ht="13.5" customHeight="1">
      <c r="A19" s="124" t="str">
        <f>'Experimental Plan and Data'!B7</f>
        <v>A</v>
      </c>
      <c r="B19" s="93">
        <f>'Response Plots'!D24</f>
        <v>2</v>
      </c>
      <c r="C19" s="147" t="str">
        <f>CONCATENATE(A19,B19," avg - Tbar S/N")</f>
        <v>A2 avg - Tbar S/N</v>
      </c>
      <c r="D19" s="287">
        <f>'Response Tables'!B16-'Response Tables'!F11</f>
        <v>182.5060416666663</v>
      </c>
      <c r="E19" s="289" t="s">
        <v>67</v>
      </c>
      <c r="F19" s="86"/>
      <c r="G19" s="147" t="str">
        <f>CONCATENATE(A19,B19," avg - Tbar Beta")</f>
        <v>A2 avg - Tbar Beta</v>
      </c>
      <c r="H19" s="290">
        <f>'Response Tables'!B20-'Response Tables'!E11</f>
        <v>6.618750000000006</v>
      </c>
      <c r="I19" s="289" t="s">
        <v>67</v>
      </c>
    </row>
    <row r="20" spans="1:9" ht="13.5" customHeight="1">
      <c r="A20" s="124" t="str">
        <f>'Experimental Plan and Data'!C7</f>
        <v>B</v>
      </c>
      <c r="B20" s="93">
        <f>'Response Plots'!E24</f>
        <v>2</v>
      </c>
      <c r="C20" s="147" t="str">
        <f>CONCATENATE(A20,B20," avg - Tbar S/N")</f>
        <v>B2 avg - Tbar S/N</v>
      </c>
      <c r="D20" s="173">
        <f>IF(OR(ISBLANK($E$19),ISBLANK($D$19)),"",IF('Response Plots'!E24=1,'Response Tables'!C$16-'Response Tables'!$F$11,'Response Tables'!C$16-'Response Tables'!$F$11))</f>
        <v>-2.172708333333503</v>
      </c>
      <c r="E20" s="173"/>
      <c r="F20" s="86"/>
      <c r="G20" s="147" t="str">
        <f>CONCATENATE(A20,B20," avg - Tbar Beta")</f>
        <v>B2 avg - Tbar Beta</v>
      </c>
      <c r="H20" s="180">
        <f>IF(OR(ISBLANK($I$19),ISBLANK($H$19)),"",IF('Response Plots'!E24=1,'Response Tables'!C19-'Response Tables'!E11,'Response Tables'!C20-'Response Tables'!E11))</f>
        <v>0.9312500000000057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9.052708333333612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-0.20624999999999716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41</v>
      </c>
      <c r="D23" s="288">
        <f>SUM(D19:D21)</f>
        <v>189.38604166666642</v>
      </c>
      <c r="E23" s="173"/>
      <c r="F23" s="339">
        <f>IF(ISBLANK(H23),"",IF(H23=SUM(H19:H22),"","## Beta Total ERROR ##"))</f>
      </c>
      <c r="G23" s="128" t="s">
        <v>41</v>
      </c>
      <c r="H23" s="291">
        <f>SUM(H19:H21)</f>
        <v>7.343750000000014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42</v>
      </c>
      <c r="D24" s="176">
        <f>'Response Tables'!F11</f>
        <v>718.6352083333334</v>
      </c>
      <c r="E24" s="184"/>
      <c r="F24" s="339">
        <f>IF(ISBLANK(H25),"",IF(H25=SUM(H23:H24),"","## Beta Pred ERROR ##"))</f>
      </c>
      <c r="G24" s="166" t="s">
        <v>43</v>
      </c>
      <c r="H24" s="179">
        <f>'Response Tables'!E11</f>
        <v>43.818749999999994</v>
      </c>
      <c r="I24" s="162"/>
    </row>
    <row r="25" spans="1:9" ht="13.5" thickTop="1">
      <c r="A25" s="122"/>
      <c r="B25" s="271"/>
      <c r="C25" s="272" t="s">
        <v>47</v>
      </c>
      <c r="D25" s="288">
        <f>SUM(D23:D24)</f>
        <v>908.0212499999998</v>
      </c>
      <c r="E25" s="185"/>
      <c r="F25" s="273"/>
      <c r="G25" s="272" t="s">
        <v>48</v>
      </c>
      <c r="H25" s="291">
        <f>SUM(H23:H24)</f>
        <v>51.16250000000001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65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67</v>
      </c>
      <c r="M4" s="285" t="s">
        <v>67</v>
      </c>
      <c r="N4" s="285" t="s">
        <v>67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49</v>
      </c>
      <c r="B5" s="27" t="s">
        <v>62</v>
      </c>
      <c r="C5" s="28"/>
      <c r="D5" s="28"/>
      <c r="E5" s="277"/>
      <c r="F5" s="54"/>
      <c r="G5" s="444" t="s">
        <v>64</v>
      </c>
      <c r="H5" s="28"/>
      <c r="I5" s="28"/>
      <c r="J5" s="277"/>
      <c r="K5" s="29"/>
      <c r="L5" s="454" t="s">
        <v>66</v>
      </c>
      <c r="M5" s="125" t="s">
        <v>50</v>
      </c>
      <c r="N5" s="126" t="s">
        <v>14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51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52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14</v>
      </c>
      <c r="D10" s="105"/>
      <c r="E10" s="105"/>
      <c r="F10" s="206"/>
      <c r="G10" s="106" t="s">
        <v>36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54</v>
      </c>
      <c r="D11" s="116"/>
      <c r="E11" s="280" t="s">
        <v>55</v>
      </c>
      <c r="F11" s="207"/>
      <c r="G11" s="204" t="s">
        <v>54</v>
      </c>
      <c r="H11" s="116"/>
      <c r="I11" s="280" t="s">
        <v>55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56</v>
      </c>
      <c r="C12" s="213">
        <f>IF(ISBLANK(Prediction!D25),"",Prediction!D13)</f>
        <v>529.2491666666668</v>
      </c>
      <c r="D12" s="214"/>
      <c r="E12" s="219">
        <f>IF(ISBLANK(X6),"",X6)</f>
      </c>
      <c r="F12" s="220"/>
      <c r="G12" s="215">
        <f>IF(ISBLANK(Prediction!H25),"",Prediction!H13)</f>
        <v>36.47500000000001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57</v>
      </c>
      <c r="C13" s="210">
        <f>IF(ISBLANK(Prediction!D25),"",Prediction!D25)</f>
        <v>908.0212499999998</v>
      </c>
      <c r="D13" s="211"/>
      <c r="E13" s="221">
        <f>IF(ISBLANK(X7),"",X7)</f>
      </c>
      <c r="F13" s="222"/>
      <c r="G13" s="212">
        <f>IF(ISBLANK(Prediction!H25),"",Prediction!H25)</f>
        <v>51.16250000000001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58</v>
      </c>
      <c r="C14" s="216">
        <f>IF(ISBLANK(Prediction!D25),"",C13-C12)</f>
        <v>378.77208333333294</v>
      </c>
      <c r="D14" s="217"/>
      <c r="E14" s="223">
        <f>IF(E13="","",E13-E12)</f>
      </c>
      <c r="F14" s="224"/>
      <c r="G14" s="218">
        <f>IF(ISBLANK(Prediction!H25),"",G13-G12)</f>
        <v>14.6875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2003-07-03T05:02:16Z</dcterms:modified>
  <cp:category/>
  <cp:version/>
  <cp:contentType/>
  <cp:contentStatus/>
</cp:coreProperties>
</file>