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335" windowHeight="10275" activeTab="0"/>
  </bookViews>
  <sheets>
    <sheet name="parameters" sheetId="1" r:id="rId1"/>
    <sheet name="Sheet3" sheetId="2" r:id="rId2"/>
  </sheets>
  <definedNames>
    <definedName name="A">'parameters'!$M$35</definedName>
    <definedName name="Ai">'parameters'!$C$8</definedName>
    <definedName name="alpha">'parameters'!$C$51</definedName>
    <definedName name="Ao">'parameters'!$C$9</definedName>
    <definedName name="beta">'parameters'!$C$52</definedName>
    <definedName name="betar">'parameters'!$C$45</definedName>
    <definedName name="Caiinf">#REF!</definedName>
    <definedName name="Cainf">#REF!</definedName>
    <definedName name="Cair">'parameters'!$C$30</definedName>
    <definedName name="Caor">'parameters'!$C$35</definedName>
    <definedName name="Cp">'parameters'!$C$15</definedName>
    <definedName name="Cpc">'parameters'!$C$13</definedName>
    <definedName name="deltaC">#REF!</definedName>
    <definedName name="deltaT">#REF!</definedName>
    <definedName name="Dt">'parameters'!$C$4</definedName>
    <definedName name="E">'parameters'!$C$17</definedName>
    <definedName name="Fcr">'parameters'!$C$28</definedName>
    <definedName name="Fl">'parameters'!$C$21</definedName>
    <definedName name="hir">'parameters'!$C$23</definedName>
    <definedName name="ho">'parameters'!$C$24</definedName>
    <definedName name="Hr">'parameters'!$C$16</definedName>
    <definedName name="Ht">'parameters'!$C$5</definedName>
    <definedName name="KC">'parameters'!#REF!</definedName>
    <definedName name="Kct">'parameters'!$C$48</definedName>
    <definedName name="KH">'parameters'!#REF!</definedName>
    <definedName name="Kht">'parameters'!$C$50</definedName>
    <definedName name="kinf">#REF!</definedName>
    <definedName name="ko">'parameters'!$C$18</definedName>
    <definedName name="kr">'parameters'!$C$41</definedName>
    <definedName name="Ktc">'parameters'!$C$49</definedName>
    <definedName name="L">'parameters'!$C$7</definedName>
    <definedName name="LMTD">'parameters'!$C$39</definedName>
    <definedName name="phi">'parameters'!$C$65</definedName>
    <definedName name="Q">'parameters'!$C$40</definedName>
    <definedName name="rho">'parameters'!$C$14</definedName>
    <definedName name="rhoc">'parameters'!$C$12</definedName>
    <definedName name="tau">'parameters'!$C$55</definedName>
    <definedName name="tau_C">'parameters'!$C$46</definedName>
    <definedName name="tau_R">'parameters'!$C$44</definedName>
    <definedName name="tau_T">'parameters'!$C$47</definedName>
    <definedName name="Tc">'parameters'!$M$33</definedName>
    <definedName name="Tci">'parameters'!$C$22</definedName>
    <definedName name="Tcor">'parameters'!$C$38</definedName>
    <definedName name="Tcorest">'parameters'!#REF!</definedName>
    <definedName name="Thi">'parameters'!$H$6</definedName>
    <definedName name="Tiinf">#REF!</definedName>
    <definedName name="timeC">#REF!</definedName>
    <definedName name="timeCmax">#REF!</definedName>
    <definedName name="timeT">#REF!</definedName>
    <definedName name="timeTmax">#REF!</definedName>
    <definedName name="Tinf">#REF!</definedName>
    <definedName name="Tir">'parameters'!$C$29</definedName>
    <definedName name="Tlo">'parameters'!$H$5</definedName>
    <definedName name="Tr">'parameters'!$C$34</definedName>
    <definedName name="Trest">'parameters'!$C$33</definedName>
    <definedName name="Tsest1">#REF!</definedName>
    <definedName name="U">'parameters'!$M$34</definedName>
    <definedName name="Uor">'parameters'!$C$25</definedName>
    <definedName name="V">'parameters'!$C$6</definedName>
    <definedName name="w">'parameters'!$C$64</definedName>
    <definedName name="xi">'parameters'!$C$56</definedName>
  </definedNames>
  <calcPr fullCalcOnLoad="1"/>
</workbook>
</file>

<file path=xl/comments1.xml><?xml version="1.0" encoding="utf-8"?>
<comments xmlns="http://schemas.openxmlformats.org/spreadsheetml/2006/main">
  <authors>
    <author> </author>
    <author>-</author>
  </authors>
  <commentList>
    <comment ref="B17" authorId="0">
      <text>
        <r>
          <rPr>
            <b/>
            <sz val="8"/>
            <rFont val="Tahoma"/>
            <family val="0"/>
          </rPr>
          <t>represents the ratio E/R; units are K</t>
        </r>
      </text>
    </comment>
    <comment ref="B8" authorId="1">
      <text>
        <r>
          <rPr>
            <b/>
            <sz val="8"/>
            <rFont val="Tahoma"/>
            <family val="0"/>
          </rPr>
          <t>3/4 inch 16 BWG tube</t>
        </r>
      </text>
    </comment>
  </commentList>
</comments>
</file>

<file path=xl/sharedStrings.xml><?xml version="1.0" encoding="utf-8"?>
<sst xmlns="http://schemas.openxmlformats.org/spreadsheetml/2006/main" count="164" uniqueCount="131">
  <si>
    <t>chemical reactor dynamics</t>
  </si>
  <si>
    <t>flow</t>
  </si>
  <si>
    <t>inlet conc</t>
  </si>
  <si>
    <t>density</t>
  </si>
  <si>
    <t>rho</t>
  </si>
  <si>
    <t>heat capacity</t>
  </si>
  <si>
    <t>Cp</t>
  </si>
  <si>
    <t>V</t>
  </si>
  <si>
    <t>heat of rx</t>
  </si>
  <si>
    <t>Hr</t>
  </si>
  <si>
    <t>act energy</t>
  </si>
  <si>
    <t>E</t>
  </si>
  <si>
    <t>K</t>
  </si>
  <si>
    <t>freq factor</t>
  </si>
  <si>
    <t>ko</t>
  </si>
  <si>
    <t>inlet temp</t>
  </si>
  <si>
    <t>outlet temp</t>
  </si>
  <si>
    <t>outlet conc</t>
  </si>
  <si>
    <t>mol m-3</t>
  </si>
  <si>
    <t>parameter groups</t>
  </si>
  <si>
    <t>residence time</t>
  </si>
  <si>
    <t>tau_R</t>
  </si>
  <si>
    <t>tau_C</t>
  </si>
  <si>
    <t>tau_T</t>
  </si>
  <si>
    <t>conc time</t>
  </si>
  <si>
    <t>thermal time</t>
  </si>
  <si>
    <t>Kct</t>
  </si>
  <si>
    <t>Ktc</t>
  </si>
  <si>
    <t>s</t>
  </si>
  <si>
    <t>rate constant</t>
  </si>
  <si>
    <t>Fl</t>
  </si>
  <si>
    <t>damping factor</t>
  </si>
  <si>
    <t>xi</t>
  </si>
  <si>
    <t>time const</t>
  </si>
  <si>
    <t>tau</t>
  </si>
  <si>
    <t>radian frequency</t>
  </si>
  <si>
    <t>w</t>
  </si>
  <si>
    <t>concentration</t>
  </si>
  <si>
    <t>phase angle</t>
  </si>
  <si>
    <t>phi</t>
  </si>
  <si>
    <t>rad</t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</si>
  <si>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s</t>
    </r>
    <r>
      <rPr>
        <vertAlign val="superscript"/>
        <sz val="9"/>
        <rFont val="Times New Roman"/>
        <family val="1"/>
      </rPr>
      <t>-1</t>
    </r>
  </si>
  <si>
    <r>
      <t>mol m</t>
    </r>
    <r>
      <rPr>
        <vertAlign val="superscript"/>
        <sz val="9"/>
        <rFont val="Times New Roman"/>
        <family val="1"/>
      </rPr>
      <t>-3</t>
    </r>
  </si>
  <si>
    <r>
      <t>kg m</t>
    </r>
    <r>
      <rPr>
        <vertAlign val="superscript"/>
        <sz val="9"/>
        <rFont val="Times New Roman"/>
        <family val="1"/>
      </rPr>
      <t>-3</t>
    </r>
  </si>
  <si>
    <r>
      <t>J mol</t>
    </r>
    <r>
      <rPr>
        <vertAlign val="superscript"/>
        <sz val="9"/>
        <rFont val="Times New Roman"/>
        <family val="1"/>
      </rPr>
      <t>-1</t>
    </r>
  </si>
  <si>
    <r>
      <t>J kg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 xml:space="preserve"> K</t>
    </r>
    <r>
      <rPr>
        <vertAlign val="superscript"/>
        <sz val="9"/>
        <rFont val="Times New Roman"/>
        <family val="1"/>
      </rPr>
      <t>-1</t>
    </r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</si>
  <si>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</si>
  <si>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mol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 xml:space="preserve"> s</t>
    </r>
    <r>
      <rPr>
        <vertAlign val="superscript"/>
        <sz val="9"/>
        <rFont val="Times New Roman"/>
        <family val="1"/>
      </rPr>
      <t>-1</t>
    </r>
  </si>
  <si>
    <r>
      <t>J s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 xml:space="preserve"> m</t>
    </r>
    <r>
      <rPr>
        <vertAlign val="superscript"/>
        <sz val="9"/>
        <rFont val="Times New Roman"/>
        <family val="1"/>
      </rPr>
      <t>-2</t>
    </r>
    <r>
      <rPr>
        <sz val="9"/>
        <rFont val="Times New Roman"/>
        <family val="1"/>
      </rPr>
      <t xml:space="preserve"> K</t>
    </r>
    <r>
      <rPr>
        <vertAlign val="superscript"/>
        <sz val="9"/>
        <rFont val="Times New Roman"/>
        <family val="1"/>
      </rPr>
      <t>-1</t>
    </r>
  </si>
  <si>
    <r>
      <t>m</t>
    </r>
    <r>
      <rPr>
        <vertAlign val="superscript"/>
        <sz val="9"/>
        <rFont val="Times New Roman"/>
        <family val="1"/>
      </rPr>
      <t>2</t>
    </r>
  </si>
  <si>
    <r>
      <t>mol m</t>
    </r>
    <r>
      <rPr>
        <vertAlign val="superscript"/>
        <sz val="9"/>
        <rFont val="Times New Roman"/>
        <family val="1"/>
      </rPr>
      <t>-3</t>
    </r>
    <r>
      <rPr>
        <sz val="9"/>
        <rFont val="Times New Roman"/>
        <family val="1"/>
      </rPr>
      <t xml:space="preserve"> K</t>
    </r>
    <r>
      <rPr>
        <vertAlign val="superscript"/>
        <sz val="9"/>
        <rFont val="Times New Roman"/>
        <family val="1"/>
      </rPr>
      <t>-1</t>
    </r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</si>
  <si>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K mol</t>
    </r>
    <r>
      <rPr>
        <vertAlign val="superscript"/>
        <sz val="9"/>
        <rFont val="Times New Roman"/>
        <family val="1"/>
      </rPr>
      <t>-1</t>
    </r>
  </si>
  <si>
    <r>
      <t>rad s</t>
    </r>
    <r>
      <rPr>
        <vertAlign val="superscript"/>
        <sz val="9"/>
        <rFont val="Times New Roman"/>
        <family val="1"/>
      </rPr>
      <t>-1</t>
    </r>
  </si>
  <si>
    <t>temperature</t>
  </si>
  <si>
    <t>low temp</t>
  </si>
  <si>
    <t>Tlo</t>
  </si>
  <si>
    <t>Thi</t>
  </si>
  <si>
    <t>high temp</t>
  </si>
  <si>
    <t>rate const</t>
  </si>
  <si>
    <t>thermal term</t>
  </si>
  <si>
    <t>reaction term</t>
  </si>
  <si>
    <t>steady state operation</t>
  </si>
  <si>
    <t>equipment</t>
  </si>
  <si>
    <t>tank diameter</t>
  </si>
  <si>
    <t>tank height</t>
  </si>
  <si>
    <t>HX tube length</t>
  </si>
  <si>
    <t>Dt</t>
  </si>
  <si>
    <t>Ht</t>
  </si>
  <si>
    <t>L</t>
  </si>
  <si>
    <t>inside area</t>
  </si>
  <si>
    <t>outside area</t>
  </si>
  <si>
    <t>Ai</t>
  </si>
  <si>
    <t>Ao</t>
  </si>
  <si>
    <t>tank volume</t>
  </si>
  <si>
    <t>m</t>
  </si>
  <si>
    <t>physical properties</t>
  </si>
  <si>
    <t>coolant density</t>
  </si>
  <si>
    <t>coolant heat cap</t>
  </si>
  <si>
    <t>rhoc</t>
  </si>
  <si>
    <t>Cpc</t>
  </si>
  <si>
    <t>operating conditions</t>
  </si>
  <si>
    <t>coolant supply T</t>
  </si>
  <si>
    <t>Tci</t>
  </si>
  <si>
    <t>tubeside coefficient</t>
  </si>
  <si>
    <t>tankside coefficient</t>
  </si>
  <si>
    <t>ho</t>
  </si>
  <si>
    <t>hir</t>
  </si>
  <si>
    <t>ref ht coef</t>
  </si>
  <si>
    <t>Uor</t>
  </si>
  <si>
    <t>reference inputs</t>
  </si>
  <si>
    <t>coolant flow</t>
  </si>
  <si>
    <t>reference outputs</t>
  </si>
  <si>
    <t>other conditions</t>
  </si>
  <si>
    <t>coolant outlet T</t>
  </si>
  <si>
    <t>Fcr</t>
  </si>
  <si>
    <t>Tir</t>
  </si>
  <si>
    <t>Cair</t>
  </si>
  <si>
    <t>Trest</t>
  </si>
  <si>
    <t>Tr</t>
  </si>
  <si>
    <t>Caor</t>
  </si>
  <si>
    <t>heat duty</t>
  </si>
  <si>
    <t>Q</t>
  </si>
  <si>
    <t>Tcor</t>
  </si>
  <si>
    <r>
      <t>J s</t>
    </r>
    <r>
      <rPr>
        <vertAlign val="superscript"/>
        <sz val="9"/>
        <rFont val="Times New Roman"/>
        <family val="1"/>
      </rPr>
      <t>-1</t>
    </r>
  </si>
  <si>
    <t>kr</t>
  </si>
  <si>
    <t>log mean dT</t>
  </si>
  <si>
    <t>LMTD</t>
  </si>
  <si>
    <t>betar</t>
  </si>
  <si>
    <t>HX outlet T</t>
  </si>
  <si>
    <t>pole 1</t>
  </si>
  <si>
    <t>pole 2</t>
  </si>
  <si>
    <t>heat transfer gain</t>
  </si>
  <si>
    <t>conc/temp gain</t>
  </si>
  <si>
    <t>temp/conc gain</t>
  </si>
  <si>
    <t>Kht</t>
  </si>
  <si>
    <t>NTU function</t>
  </si>
  <si>
    <t>coef alpha</t>
  </si>
  <si>
    <t>coef beta</t>
  </si>
  <si>
    <r>
      <t>s</t>
    </r>
    <r>
      <rPr>
        <vertAlign val="superscript"/>
        <sz val="9"/>
        <rFont val="Times New Roman"/>
        <family val="1"/>
      </rPr>
      <t>2</t>
    </r>
  </si>
  <si>
    <t>yellow cells are for input</t>
  </si>
  <si>
    <r>
      <t>s K m</t>
    </r>
    <r>
      <rPr>
        <vertAlign val="superscript"/>
        <sz val="9"/>
        <rFont val="Times New Roman"/>
        <family val="1"/>
      </rPr>
      <t>-3</t>
    </r>
  </si>
  <si>
    <r>
      <t>mol s m</t>
    </r>
    <r>
      <rPr>
        <vertAlign val="superscript"/>
        <sz val="9"/>
        <rFont val="Times New Roman"/>
        <family val="1"/>
      </rPr>
      <t>-6</t>
    </r>
  </si>
  <si>
    <t>gain, T from Ti</t>
  </si>
  <si>
    <t>gain, T from Cai</t>
  </si>
  <si>
    <t>gain, T from Fc</t>
  </si>
  <si>
    <t>gain, Ca from Ti</t>
  </si>
  <si>
    <t>gain, Ca from Cai</t>
  </si>
  <si>
    <t>gain, Ca from Fc</t>
  </si>
  <si>
    <t>use the blue cell to converge the temperature Tr</t>
  </si>
  <si>
    <t>convergence error</t>
  </si>
  <si>
    <t>(parameters for underdamped conditions)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</si>
</sst>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8"/>
      <name val="Tahoma"/>
      <family val="0"/>
    </font>
    <font>
      <sz val="9"/>
      <color indexed="10"/>
      <name val="Times New Roman"/>
      <family val="1"/>
    </font>
    <font>
      <b/>
      <sz val="9.75"/>
      <name val="Times New Roman"/>
      <family val="0"/>
    </font>
    <font>
      <sz val="9.75"/>
      <name val="Times New Roman"/>
      <family val="0"/>
    </font>
    <font>
      <b/>
      <sz val="10"/>
      <name val="Times New Roman"/>
      <family val="1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parameters!$E$35:$E$136</c:f>
              <c:numCache>
                <c:ptCount val="102"/>
                <c:pt idx="0">
                  <c:v>300</c:v>
                </c:pt>
                <c:pt idx="1">
                  <c:v>303.5</c:v>
                </c:pt>
                <c:pt idx="2">
                  <c:v>307</c:v>
                </c:pt>
                <c:pt idx="3">
                  <c:v>310.5</c:v>
                </c:pt>
                <c:pt idx="4">
                  <c:v>314</c:v>
                </c:pt>
                <c:pt idx="5">
                  <c:v>317.5</c:v>
                </c:pt>
                <c:pt idx="6">
                  <c:v>321</c:v>
                </c:pt>
                <c:pt idx="7">
                  <c:v>324.5</c:v>
                </c:pt>
                <c:pt idx="8">
                  <c:v>328</c:v>
                </c:pt>
                <c:pt idx="9">
                  <c:v>331.5</c:v>
                </c:pt>
                <c:pt idx="10">
                  <c:v>335</c:v>
                </c:pt>
                <c:pt idx="11">
                  <c:v>338.5</c:v>
                </c:pt>
                <c:pt idx="12">
                  <c:v>342</c:v>
                </c:pt>
                <c:pt idx="13">
                  <c:v>345.5</c:v>
                </c:pt>
                <c:pt idx="14">
                  <c:v>349</c:v>
                </c:pt>
                <c:pt idx="16">
                  <c:v>352.5</c:v>
                </c:pt>
                <c:pt idx="17">
                  <c:v>356</c:v>
                </c:pt>
                <c:pt idx="18">
                  <c:v>359.5</c:v>
                </c:pt>
                <c:pt idx="19">
                  <c:v>363</c:v>
                </c:pt>
                <c:pt idx="20">
                  <c:v>366.5</c:v>
                </c:pt>
                <c:pt idx="21">
                  <c:v>370</c:v>
                </c:pt>
                <c:pt idx="22">
                  <c:v>373.5</c:v>
                </c:pt>
                <c:pt idx="23">
                  <c:v>377</c:v>
                </c:pt>
                <c:pt idx="24">
                  <c:v>380.5</c:v>
                </c:pt>
                <c:pt idx="25">
                  <c:v>384</c:v>
                </c:pt>
                <c:pt idx="26">
                  <c:v>387.5</c:v>
                </c:pt>
                <c:pt idx="27">
                  <c:v>391</c:v>
                </c:pt>
                <c:pt idx="28">
                  <c:v>394.5</c:v>
                </c:pt>
                <c:pt idx="29">
                  <c:v>398</c:v>
                </c:pt>
                <c:pt idx="30">
                  <c:v>401.5</c:v>
                </c:pt>
                <c:pt idx="31">
                  <c:v>405</c:v>
                </c:pt>
                <c:pt idx="32">
                  <c:v>408.5</c:v>
                </c:pt>
                <c:pt idx="33">
                  <c:v>412</c:v>
                </c:pt>
                <c:pt idx="34">
                  <c:v>415.5</c:v>
                </c:pt>
                <c:pt idx="35">
                  <c:v>419</c:v>
                </c:pt>
                <c:pt idx="36">
                  <c:v>422.5</c:v>
                </c:pt>
                <c:pt idx="37">
                  <c:v>426</c:v>
                </c:pt>
                <c:pt idx="38">
                  <c:v>429.5</c:v>
                </c:pt>
                <c:pt idx="39">
                  <c:v>433</c:v>
                </c:pt>
                <c:pt idx="40">
                  <c:v>436.5</c:v>
                </c:pt>
                <c:pt idx="41">
                  <c:v>440</c:v>
                </c:pt>
                <c:pt idx="42">
                  <c:v>443.5</c:v>
                </c:pt>
                <c:pt idx="43">
                  <c:v>447</c:v>
                </c:pt>
                <c:pt idx="44">
                  <c:v>450.5</c:v>
                </c:pt>
                <c:pt idx="45">
                  <c:v>454</c:v>
                </c:pt>
                <c:pt idx="46">
                  <c:v>457.5</c:v>
                </c:pt>
                <c:pt idx="47">
                  <c:v>461</c:v>
                </c:pt>
                <c:pt idx="48">
                  <c:v>464.5</c:v>
                </c:pt>
                <c:pt idx="49">
                  <c:v>468</c:v>
                </c:pt>
                <c:pt idx="50">
                  <c:v>471.5</c:v>
                </c:pt>
                <c:pt idx="51">
                  <c:v>475</c:v>
                </c:pt>
                <c:pt idx="52">
                  <c:v>478.5</c:v>
                </c:pt>
                <c:pt idx="53">
                  <c:v>482</c:v>
                </c:pt>
                <c:pt idx="54">
                  <c:v>485.5</c:v>
                </c:pt>
                <c:pt idx="55">
                  <c:v>489</c:v>
                </c:pt>
                <c:pt idx="56">
                  <c:v>492.5</c:v>
                </c:pt>
                <c:pt idx="57">
                  <c:v>496</c:v>
                </c:pt>
                <c:pt idx="58">
                  <c:v>499.5</c:v>
                </c:pt>
                <c:pt idx="59">
                  <c:v>503</c:v>
                </c:pt>
                <c:pt idx="60">
                  <c:v>506.5</c:v>
                </c:pt>
                <c:pt idx="61">
                  <c:v>510</c:v>
                </c:pt>
                <c:pt idx="62">
                  <c:v>513.5</c:v>
                </c:pt>
                <c:pt idx="63">
                  <c:v>517</c:v>
                </c:pt>
                <c:pt idx="64">
                  <c:v>520.5</c:v>
                </c:pt>
                <c:pt idx="65">
                  <c:v>524</c:v>
                </c:pt>
                <c:pt idx="66">
                  <c:v>527.5</c:v>
                </c:pt>
                <c:pt idx="67">
                  <c:v>531</c:v>
                </c:pt>
                <c:pt idx="68">
                  <c:v>534.5</c:v>
                </c:pt>
                <c:pt idx="69">
                  <c:v>538</c:v>
                </c:pt>
                <c:pt idx="70">
                  <c:v>541.5</c:v>
                </c:pt>
                <c:pt idx="71">
                  <c:v>545</c:v>
                </c:pt>
                <c:pt idx="72">
                  <c:v>548.5</c:v>
                </c:pt>
                <c:pt idx="73">
                  <c:v>552</c:v>
                </c:pt>
                <c:pt idx="74">
                  <c:v>555.5</c:v>
                </c:pt>
                <c:pt idx="75">
                  <c:v>559</c:v>
                </c:pt>
                <c:pt idx="76">
                  <c:v>562.5</c:v>
                </c:pt>
                <c:pt idx="77">
                  <c:v>566</c:v>
                </c:pt>
                <c:pt idx="78">
                  <c:v>569.5</c:v>
                </c:pt>
                <c:pt idx="79">
                  <c:v>573</c:v>
                </c:pt>
                <c:pt idx="80">
                  <c:v>576.5</c:v>
                </c:pt>
                <c:pt idx="81">
                  <c:v>580</c:v>
                </c:pt>
                <c:pt idx="82">
                  <c:v>583.5</c:v>
                </c:pt>
                <c:pt idx="83">
                  <c:v>587</c:v>
                </c:pt>
                <c:pt idx="84">
                  <c:v>590.5</c:v>
                </c:pt>
                <c:pt idx="85">
                  <c:v>594</c:v>
                </c:pt>
                <c:pt idx="86">
                  <c:v>597.5</c:v>
                </c:pt>
                <c:pt idx="87">
                  <c:v>601</c:v>
                </c:pt>
                <c:pt idx="88">
                  <c:v>604.5</c:v>
                </c:pt>
                <c:pt idx="89">
                  <c:v>608</c:v>
                </c:pt>
                <c:pt idx="90">
                  <c:v>611.5</c:v>
                </c:pt>
                <c:pt idx="91">
                  <c:v>615</c:v>
                </c:pt>
                <c:pt idx="92">
                  <c:v>618.5</c:v>
                </c:pt>
                <c:pt idx="93">
                  <c:v>622</c:v>
                </c:pt>
                <c:pt idx="94">
                  <c:v>625.5</c:v>
                </c:pt>
                <c:pt idx="95">
                  <c:v>629</c:v>
                </c:pt>
                <c:pt idx="96">
                  <c:v>632.5</c:v>
                </c:pt>
                <c:pt idx="97">
                  <c:v>636</c:v>
                </c:pt>
                <c:pt idx="98">
                  <c:v>639.5</c:v>
                </c:pt>
                <c:pt idx="99">
                  <c:v>643</c:v>
                </c:pt>
                <c:pt idx="100">
                  <c:v>646.5</c:v>
                </c:pt>
                <c:pt idx="101">
                  <c:v>650</c:v>
                </c:pt>
              </c:numCache>
            </c:numRef>
          </c:xVal>
          <c:yVal>
            <c:numRef>
              <c:f>parameters!$I$35:$I$136</c:f>
              <c:numCache>
                <c:ptCount val="102"/>
                <c:pt idx="0">
                  <c:v>-1453500</c:v>
                </c:pt>
                <c:pt idx="1">
                  <c:v>-1255819.2685696196</c:v>
                </c:pt>
                <c:pt idx="2">
                  <c:v>-1058138.5371392393</c:v>
                </c:pt>
                <c:pt idx="3">
                  <c:v>-860457.8057088584</c:v>
                </c:pt>
                <c:pt idx="4">
                  <c:v>-662777.0742784779</c:v>
                </c:pt>
                <c:pt idx="5">
                  <c:v>-465096.34284809756</c:v>
                </c:pt>
                <c:pt idx="6">
                  <c:v>-267415.6114177172</c:v>
                </c:pt>
                <c:pt idx="7">
                  <c:v>-69734.87998733632</c:v>
                </c:pt>
                <c:pt idx="8">
                  <c:v>127945.85144304406</c:v>
                </c:pt>
                <c:pt idx="9">
                  <c:v>325626.58287342446</c:v>
                </c:pt>
                <c:pt idx="10">
                  <c:v>523307.31430380483</c:v>
                </c:pt>
                <c:pt idx="11">
                  <c:v>720988.0457341853</c:v>
                </c:pt>
                <c:pt idx="12">
                  <c:v>918668.7771645661</c:v>
                </c:pt>
                <c:pt idx="13">
                  <c:v>1116349.5085949465</c:v>
                </c:pt>
                <c:pt idx="14">
                  <c:v>1314030.2400253268</c:v>
                </c:pt>
                <c:pt idx="16">
                  <c:v>1511710.9714557072</c:v>
                </c:pt>
                <c:pt idx="17">
                  <c:v>1709391.702886088</c:v>
                </c:pt>
                <c:pt idx="18">
                  <c:v>1907072.4343164684</c:v>
                </c:pt>
                <c:pt idx="19">
                  <c:v>2104753.165746849</c:v>
                </c:pt>
                <c:pt idx="20">
                  <c:v>2302433.897177229</c:v>
                </c:pt>
                <c:pt idx="21">
                  <c:v>2500114.62860761</c:v>
                </c:pt>
                <c:pt idx="22">
                  <c:v>2697795.3600379904</c:v>
                </c:pt>
                <c:pt idx="23">
                  <c:v>2895476.091468371</c:v>
                </c:pt>
                <c:pt idx="24">
                  <c:v>3093156.822898751</c:v>
                </c:pt>
                <c:pt idx="25">
                  <c:v>3290837.5543291317</c:v>
                </c:pt>
                <c:pt idx="26">
                  <c:v>3488518.2857595123</c:v>
                </c:pt>
                <c:pt idx="27">
                  <c:v>3686199.017189893</c:v>
                </c:pt>
                <c:pt idx="28">
                  <c:v>3883879.7486202735</c:v>
                </c:pt>
                <c:pt idx="29">
                  <c:v>4081560.4800506537</c:v>
                </c:pt>
                <c:pt idx="30">
                  <c:v>4279241.211481035</c:v>
                </c:pt>
                <c:pt idx="31">
                  <c:v>4476921.942911415</c:v>
                </c:pt>
                <c:pt idx="32">
                  <c:v>4674602.674341795</c:v>
                </c:pt>
                <c:pt idx="33">
                  <c:v>4872283.405772176</c:v>
                </c:pt>
                <c:pt idx="34">
                  <c:v>5069964.137202556</c:v>
                </c:pt>
                <c:pt idx="35">
                  <c:v>5267644.868632937</c:v>
                </c:pt>
                <c:pt idx="36">
                  <c:v>5465325.600063317</c:v>
                </c:pt>
                <c:pt idx="37">
                  <c:v>5663006.331493698</c:v>
                </c:pt>
                <c:pt idx="38">
                  <c:v>5860687.062924078</c:v>
                </c:pt>
                <c:pt idx="39">
                  <c:v>6058367.794354459</c:v>
                </c:pt>
                <c:pt idx="40">
                  <c:v>6256048.525784839</c:v>
                </c:pt>
                <c:pt idx="41">
                  <c:v>6453729.25721522</c:v>
                </c:pt>
                <c:pt idx="42">
                  <c:v>6651409.9886456</c:v>
                </c:pt>
                <c:pt idx="43">
                  <c:v>6849090.720075981</c:v>
                </c:pt>
                <c:pt idx="44">
                  <c:v>7046771.451506361</c:v>
                </c:pt>
                <c:pt idx="45">
                  <c:v>7244452.182936742</c:v>
                </c:pt>
                <c:pt idx="46">
                  <c:v>7442132.914367123</c:v>
                </c:pt>
                <c:pt idx="47">
                  <c:v>7639813.645797502</c:v>
                </c:pt>
                <c:pt idx="48">
                  <c:v>7837494.377227884</c:v>
                </c:pt>
                <c:pt idx="49">
                  <c:v>8035175.108658263</c:v>
                </c:pt>
                <c:pt idx="50">
                  <c:v>8232855.840088644</c:v>
                </c:pt>
                <c:pt idx="51">
                  <c:v>8430536.571519025</c:v>
                </c:pt>
                <c:pt idx="52">
                  <c:v>8628217.302949404</c:v>
                </c:pt>
                <c:pt idx="53">
                  <c:v>8825898.034379786</c:v>
                </c:pt>
                <c:pt idx="54">
                  <c:v>9023578.765810166</c:v>
                </c:pt>
                <c:pt idx="55">
                  <c:v>9221259.497240547</c:v>
                </c:pt>
                <c:pt idx="56">
                  <c:v>9418940.228670927</c:v>
                </c:pt>
                <c:pt idx="57">
                  <c:v>9616620.960101308</c:v>
                </c:pt>
                <c:pt idx="58">
                  <c:v>9814301.691531688</c:v>
                </c:pt>
                <c:pt idx="59">
                  <c:v>10011982.42296207</c:v>
                </c:pt>
                <c:pt idx="60">
                  <c:v>10209663.15439245</c:v>
                </c:pt>
                <c:pt idx="61">
                  <c:v>10407343.885822829</c:v>
                </c:pt>
                <c:pt idx="62">
                  <c:v>10605024.61725321</c:v>
                </c:pt>
                <c:pt idx="63">
                  <c:v>10802705.34868359</c:v>
                </c:pt>
                <c:pt idx="64">
                  <c:v>11000386.080113972</c:v>
                </c:pt>
                <c:pt idx="65">
                  <c:v>11198066.811544351</c:v>
                </c:pt>
                <c:pt idx="66">
                  <c:v>11395747.542974733</c:v>
                </c:pt>
                <c:pt idx="67">
                  <c:v>11593428.274405112</c:v>
                </c:pt>
                <c:pt idx="68">
                  <c:v>11791109.005835492</c:v>
                </c:pt>
                <c:pt idx="69">
                  <c:v>11988789.737265874</c:v>
                </c:pt>
                <c:pt idx="70">
                  <c:v>12186470.468696253</c:v>
                </c:pt>
                <c:pt idx="71">
                  <c:v>12384151.200126635</c:v>
                </c:pt>
                <c:pt idx="72">
                  <c:v>12581831.931557015</c:v>
                </c:pt>
                <c:pt idx="73">
                  <c:v>12779512.662987396</c:v>
                </c:pt>
                <c:pt idx="74">
                  <c:v>12977193.394417776</c:v>
                </c:pt>
                <c:pt idx="75">
                  <c:v>13174874.125848155</c:v>
                </c:pt>
                <c:pt idx="76">
                  <c:v>13372554.857278537</c:v>
                </c:pt>
                <c:pt idx="77">
                  <c:v>13570235.588708919</c:v>
                </c:pt>
                <c:pt idx="78">
                  <c:v>13767916.320139298</c:v>
                </c:pt>
                <c:pt idx="79">
                  <c:v>13965597.051569678</c:v>
                </c:pt>
                <c:pt idx="80">
                  <c:v>14163277.78300006</c:v>
                </c:pt>
                <c:pt idx="81">
                  <c:v>14360958.51443044</c:v>
                </c:pt>
                <c:pt idx="82">
                  <c:v>14558639.24586082</c:v>
                </c:pt>
                <c:pt idx="83">
                  <c:v>14756319.9772912</c:v>
                </c:pt>
                <c:pt idx="84">
                  <c:v>14954000.708721582</c:v>
                </c:pt>
                <c:pt idx="85">
                  <c:v>15151681.440151962</c:v>
                </c:pt>
                <c:pt idx="86">
                  <c:v>15349362.171582341</c:v>
                </c:pt>
                <c:pt idx="87">
                  <c:v>15547042.903012723</c:v>
                </c:pt>
                <c:pt idx="88">
                  <c:v>15744723.634443102</c:v>
                </c:pt>
                <c:pt idx="89">
                  <c:v>15942404.365873484</c:v>
                </c:pt>
                <c:pt idx="90">
                  <c:v>16140085.097303864</c:v>
                </c:pt>
                <c:pt idx="91">
                  <c:v>16337765.828734245</c:v>
                </c:pt>
                <c:pt idx="92">
                  <c:v>16535446.560164625</c:v>
                </c:pt>
                <c:pt idx="93">
                  <c:v>16733127.291595004</c:v>
                </c:pt>
                <c:pt idx="94">
                  <c:v>16930808.023025386</c:v>
                </c:pt>
                <c:pt idx="95">
                  <c:v>17128488.754455768</c:v>
                </c:pt>
                <c:pt idx="96">
                  <c:v>17326169.485886145</c:v>
                </c:pt>
                <c:pt idx="97">
                  <c:v>17523850.217316527</c:v>
                </c:pt>
                <c:pt idx="98">
                  <c:v>17721530.94874691</c:v>
                </c:pt>
                <c:pt idx="99">
                  <c:v>17919211.68017729</c:v>
                </c:pt>
                <c:pt idx="100">
                  <c:v>18116892.411607668</c:v>
                </c:pt>
                <c:pt idx="101">
                  <c:v>18314573.14303805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parameters!$E$35:$E$136</c:f>
              <c:numCache>
                <c:ptCount val="102"/>
                <c:pt idx="0">
                  <c:v>300</c:v>
                </c:pt>
                <c:pt idx="1">
                  <c:v>303.5</c:v>
                </c:pt>
                <c:pt idx="2">
                  <c:v>307</c:v>
                </c:pt>
                <c:pt idx="3">
                  <c:v>310.5</c:v>
                </c:pt>
                <c:pt idx="4">
                  <c:v>314</c:v>
                </c:pt>
                <c:pt idx="5">
                  <c:v>317.5</c:v>
                </c:pt>
                <c:pt idx="6">
                  <c:v>321</c:v>
                </c:pt>
                <c:pt idx="7">
                  <c:v>324.5</c:v>
                </c:pt>
                <c:pt idx="8">
                  <c:v>328</c:v>
                </c:pt>
                <c:pt idx="9">
                  <c:v>331.5</c:v>
                </c:pt>
                <c:pt idx="10">
                  <c:v>335</c:v>
                </c:pt>
                <c:pt idx="11">
                  <c:v>338.5</c:v>
                </c:pt>
                <c:pt idx="12">
                  <c:v>342</c:v>
                </c:pt>
                <c:pt idx="13">
                  <c:v>345.5</c:v>
                </c:pt>
                <c:pt idx="14">
                  <c:v>349</c:v>
                </c:pt>
                <c:pt idx="16">
                  <c:v>352.5</c:v>
                </c:pt>
                <c:pt idx="17">
                  <c:v>356</c:v>
                </c:pt>
                <c:pt idx="18">
                  <c:v>359.5</c:v>
                </c:pt>
                <c:pt idx="19">
                  <c:v>363</c:v>
                </c:pt>
                <c:pt idx="20">
                  <c:v>366.5</c:v>
                </c:pt>
                <c:pt idx="21">
                  <c:v>370</c:v>
                </c:pt>
                <c:pt idx="22">
                  <c:v>373.5</c:v>
                </c:pt>
                <c:pt idx="23">
                  <c:v>377</c:v>
                </c:pt>
                <c:pt idx="24">
                  <c:v>380.5</c:v>
                </c:pt>
                <c:pt idx="25">
                  <c:v>384</c:v>
                </c:pt>
                <c:pt idx="26">
                  <c:v>387.5</c:v>
                </c:pt>
                <c:pt idx="27">
                  <c:v>391</c:v>
                </c:pt>
                <c:pt idx="28">
                  <c:v>394.5</c:v>
                </c:pt>
                <c:pt idx="29">
                  <c:v>398</c:v>
                </c:pt>
                <c:pt idx="30">
                  <c:v>401.5</c:v>
                </c:pt>
                <c:pt idx="31">
                  <c:v>405</c:v>
                </c:pt>
                <c:pt idx="32">
                  <c:v>408.5</c:v>
                </c:pt>
                <c:pt idx="33">
                  <c:v>412</c:v>
                </c:pt>
                <c:pt idx="34">
                  <c:v>415.5</c:v>
                </c:pt>
                <c:pt idx="35">
                  <c:v>419</c:v>
                </c:pt>
                <c:pt idx="36">
                  <c:v>422.5</c:v>
                </c:pt>
                <c:pt idx="37">
                  <c:v>426</c:v>
                </c:pt>
                <c:pt idx="38">
                  <c:v>429.5</c:v>
                </c:pt>
                <c:pt idx="39">
                  <c:v>433</c:v>
                </c:pt>
                <c:pt idx="40">
                  <c:v>436.5</c:v>
                </c:pt>
                <c:pt idx="41">
                  <c:v>440</c:v>
                </c:pt>
                <c:pt idx="42">
                  <c:v>443.5</c:v>
                </c:pt>
                <c:pt idx="43">
                  <c:v>447</c:v>
                </c:pt>
                <c:pt idx="44">
                  <c:v>450.5</c:v>
                </c:pt>
                <c:pt idx="45">
                  <c:v>454</c:v>
                </c:pt>
                <c:pt idx="46">
                  <c:v>457.5</c:v>
                </c:pt>
                <c:pt idx="47">
                  <c:v>461</c:v>
                </c:pt>
                <c:pt idx="48">
                  <c:v>464.5</c:v>
                </c:pt>
                <c:pt idx="49">
                  <c:v>468</c:v>
                </c:pt>
                <c:pt idx="50">
                  <c:v>471.5</c:v>
                </c:pt>
                <c:pt idx="51">
                  <c:v>475</c:v>
                </c:pt>
                <c:pt idx="52">
                  <c:v>478.5</c:v>
                </c:pt>
                <c:pt idx="53">
                  <c:v>482</c:v>
                </c:pt>
                <c:pt idx="54">
                  <c:v>485.5</c:v>
                </c:pt>
                <c:pt idx="55">
                  <c:v>489</c:v>
                </c:pt>
                <c:pt idx="56">
                  <c:v>492.5</c:v>
                </c:pt>
                <c:pt idx="57">
                  <c:v>496</c:v>
                </c:pt>
                <c:pt idx="58">
                  <c:v>499.5</c:v>
                </c:pt>
                <c:pt idx="59">
                  <c:v>503</c:v>
                </c:pt>
                <c:pt idx="60">
                  <c:v>506.5</c:v>
                </c:pt>
                <c:pt idx="61">
                  <c:v>510</c:v>
                </c:pt>
                <c:pt idx="62">
                  <c:v>513.5</c:v>
                </c:pt>
                <c:pt idx="63">
                  <c:v>517</c:v>
                </c:pt>
                <c:pt idx="64">
                  <c:v>520.5</c:v>
                </c:pt>
                <c:pt idx="65">
                  <c:v>524</c:v>
                </c:pt>
                <c:pt idx="66">
                  <c:v>527.5</c:v>
                </c:pt>
                <c:pt idx="67">
                  <c:v>531</c:v>
                </c:pt>
                <c:pt idx="68">
                  <c:v>534.5</c:v>
                </c:pt>
                <c:pt idx="69">
                  <c:v>538</c:v>
                </c:pt>
                <c:pt idx="70">
                  <c:v>541.5</c:v>
                </c:pt>
                <c:pt idx="71">
                  <c:v>545</c:v>
                </c:pt>
                <c:pt idx="72">
                  <c:v>548.5</c:v>
                </c:pt>
                <c:pt idx="73">
                  <c:v>552</c:v>
                </c:pt>
                <c:pt idx="74">
                  <c:v>555.5</c:v>
                </c:pt>
                <c:pt idx="75">
                  <c:v>559</c:v>
                </c:pt>
                <c:pt idx="76">
                  <c:v>562.5</c:v>
                </c:pt>
                <c:pt idx="77">
                  <c:v>566</c:v>
                </c:pt>
                <c:pt idx="78">
                  <c:v>569.5</c:v>
                </c:pt>
                <c:pt idx="79">
                  <c:v>573</c:v>
                </c:pt>
                <c:pt idx="80">
                  <c:v>576.5</c:v>
                </c:pt>
                <c:pt idx="81">
                  <c:v>580</c:v>
                </c:pt>
                <c:pt idx="82">
                  <c:v>583.5</c:v>
                </c:pt>
                <c:pt idx="83">
                  <c:v>587</c:v>
                </c:pt>
                <c:pt idx="84">
                  <c:v>590.5</c:v>
                </c:pt>
                <c:pt idx="85">
                  <c:v>594</c:v>
                </c:pt>
                <c:pt idx="86">
                  <c:v>597.5</c:v>
                </c:pt>
                <c:pt idx="87">
                  <c:v>601</c:v>
                </c:pt>
                <c:pt idx="88">
                  <c:v>604.5</c:v>
                </c:pt>
                <c:pt idx="89">
                  <c:v>608</c:v>
                </c:pt>
                <c:pt idx="90">
                  <c:v>611.5</c:v>
                </c:pt>
                <c:pt idx="91">
                  <c:v>615</c:v>
                </c:pt>
                <c:pt idx="92">
                  <c:v>618.5</c:v>
                </c:pt>
                <c:pt idx="93">
                  <c:v>622</c:v>
                </c:pt>
                <c:pt idx="94">
                  <c:v>625.5</c:v>
                </c:pt>
                <c:pt idx="95">
                  <c:v>629</c:v>
                </c:pt>
                <c:pt idx="96">
                  <c:v>632.5</c:v>
                </c:pt>
                <c:pt idx="97">
                  <c:v>636</c:v>
                </c:pt>
                <c:pt idx="98">
                  <c:v>639.5</c:v>
                </c:pt>
                <c:pt idx="99">
                  <c:v>643</c:v>
                </c:pt>
                <c:pt idx="100">
                  <c:v>646.5</c:v>
                </c:pt>
                <c:pt idx="101">
                  <c:v>650</c:v>
                </c:pt>
              </c:numCache>
            </c:numRef>
          </c:xVal>
          <c:yVal>
            <c:numRef>
              <c:f>parameters!$J$35:$J$136</c:f>
              <c:numCache>
                <c:ptCount val="102"/>
                <c:pt idx="0">
                  <c:v>2768.7261070917193</c:v>
                </c:pt>
                <c:pt idx="1">
                  <c:v>3794.173562030978</c:v>
                </c:pt>
                <c:pt idx="2">
                  <c:v>5161.950717451133</c:v>
                </c:pt>
                <c:pt idx="3">
                  <c:v>6973.805496545185</c:v>
                </c:pt>
                <c:pt idx="4">
                  <c:v>9357.908339097612</c:v>
                </c:pt>
                <c:pt idx="5">
                  <c:v>12474.643090073185</c:v>
                </c:pt>
                <c:pt idx="6">
                  <c:v>16523.378904605524</c:v>
                </c:pt>
                <c:pt idx="7">
                  <c:v>21750.30597182074</c:v>
                </c:pt>
                <c:pt idx="8">
                  <c:v>28457.39331531757</c:v>
                </c:pt>
                <c:pt idx="9">
                  <c:v>37012.4853576244</c:v>
                </c:pt>
                <c:pt idx="10">
                  <c:v>47860.48920927159</c:v>
                </c:pt>
                <c:pt idx="11">
                  <c:v>61535.50943178951</c:v>
                </c:pt>
                <c:pt idx="12">
                  <c:v>78673.6531525919</c:v>
                </c:pt>
                <c:pt idx="13">
                  <c:v>100026.047718071</c:v>
                </c:pt>
                <c:pt idx="14">
                  <c:v>126471.37908325152</c:v>
                </c:pt>
                <c:pt idx="16">
                  <c:v>159026.9698474453</c:v>
                </c:pt>
                <c:pt idx="17">
                  <c:v>198857.07791221116</c:v>
                </c:pt>
                <c:pt idx="18">
                  <c:v>247276.7311035644</c:v>
                </c:pt>
                <c:pt idx="19">
                  <c:v>305749.06156158214</c:v>
                </c:pt>
                <c:pt idx="20">
                  <c:v>375873.8349479634</c:v>
                </c:pt>
                <c:pt idx="21">
                  <c:v>459364.7818042446</c:v>
                </c:pt>
                <c:pt idx="22">
                  <c:v>558013.5544613547</c:v>
                </c:pt>
                <c:pt idx="23">
                  <c:v>673638.7820756944</c:v>
                </c:pt>
                <c:pt idx="24">
                  <c:v>808019.8798692601</c:v>
                </c:pt>
                <c:pt idx="25">
                  <c:v>962817.0092852435</c:v>
                </c:pt>
                <c:pt idx="26">
                  <c:v>1139480.772316354</c:v>
                </c:pt>
                <c:pt idx="27">
                  <c:v>1339157.5713978298</c:v>
                </c:pt>
                <c:pt idx="28">
                  <c:v>1562598.6253174238</c:v>
                </c:pt>
                <c:pt idx="29">
                  <c:v>1810081.861132635</c:v>
                </c:pt>
                <c:pt idx="30">
                  <c:v>2081355.8179903259</c:v>
                </c:pt>
                <c:pt idx="31">
                  <c:v>2375613.050494735</c:v>
                </c:pt>
                <c:pt idx="32">
                  <c:v>2691497.427101105</c:v>
                </c:pt>
                <c:pt idx="33">
                  <c:v>3027145.6978282756</c:v>
                </c:pt>
                <c:pt idx="34">
                  <c:v>3380259.5438332297</c:v>
                </c:pt>
                <c:pt idx="35">
                  <c:v>3748200.8514217287</c:v>
                </c:pt>
                <c:pt idx="36">
                  <c:v>4128100.805129305</c:v>
                </c:pt>
                <c:pt idx="37">
                  <c:v>4516972.833968056</c:v>
                </c:pt>
                <c:pt idx="38">
                  <c:v>4911820.347540778</c:v>
                </c:pt>
                <c:pt idx="39">
                  <c:v>5309732.151588071</c:v>
                </c:pt>
                <c:pt idx="40">
                  <c:v>5707960.899293613</c:v>
                </c:pt>
                <c:pt idx="41">
                  <c:v>6103982.413215061</c:v>
                </c:pt>
                <c:pt idx="42">
                  <c:v>6495535.837525148</c:v>
                </c:pt>
                <c:pt idx="43">
                  <c:v>6880646.156847211</c:v>
                </c:pt>
                <c:pt idx="44">
                  <c:v>7257631.6040165</c:v>
                </c:pt>
                <c:pt idx="45">
                  <c:v>7625098.937980451</c:v>
                </c:pt>
                <c:pt idx="46">
                  <c:v>7981929.622949375</c:v>
                </c:pt>
                <c:pt idx="47">
                  <c:v>8327259.71257651</c:v>
                </c:pt>
                <c:pt idx="48">
                  <c:v>8660455.857261565</c:v>
                </c:pt>
                <c:pt idx="49">
                  <c:v>8981089.401953625</c:v>
                </c:pt>
                <c:pt idx="50">
                  <c:v>9288910.091108324</c:v>
                </c:pt>
                <c:pt idx="51">
                  <c:v>9583820.48653611</c:v>
                </c:pt>
                <c:pt idx="52">
                  <c:v>9865851.852898654</c:v>
                </c:pt>
                <c:pt idx="53">
                  <c:v>10135141.980914691</c:v>
                </c:pt>
                <c:pt idx="54">
                  <c:v>10391915.197600206</c:v>
                </c:pt>
                <c:pt idx="55">
                  <c:v>10636464.649007203</c:v>
                </c:pt>
                <c:pt idx="56">
                  <c:v>10869136.824833233</c:v>
                </c:pt>
                <c:pt idx="57">
                  <c:v>11090318.216556039</c:v>
                </c:pt>
                <c:pt idx="58">
                  <c:v>11300423.952708343</c:v>
                </c:pt>
                <c:pt idx="59">
                  <c:v>11499888.22902811</c:v>
                </c:pt>
                <c:pt idx="60">
                  <c:v>11689156.341301233</c:v>
                </c:pt>
                <c:pt idx="61">
                  <c:v>11868678.129835216</c:v>
                </c:pt>
                <c:pt idx="62">
                  <c:v>12038902.652879786</c:v>
                </c:pt>
                <c:pt idx="63">
                  <c:v>12200273.919114793</c:v>
                </c:pt>
                <c:pt idx="64">
                  <c:v>12353227.524504624</c:v>
                </c:pt>
                <c:pt idx="65">
                  <c:v>12498188.054926222</c:v>
                </c:pt>
                <c:pt idx="66">
                  <c:v>12635567.132033534</c:v>
                </c:pt>
                <c:pt idx="67">
                  <c:v>12765761.995192405</c:v>
                </c:pt>
                <c:pt idx="68">
                  <c:v>12889154.526623432</c:v>
                </c:pt>
                <c:pt idx="69">
                  <c:v>13006110.639927113</c:v>
                </c:pt>
                <c:pt idx="70">
                  <c:v>13116979.963856228</c:v>
                </c:pt>
                <c:pt idx="71">
                  <c:v>13222095.763553256</c:v>
                </c:pt>
                <c:pt idx="72">
                  <c:v>13321775.05054211</c:v>
                </c:pt>
                <c:pt idx="73">
                  <c:v>13416318.840645868</c:v>
                </c:pt>
                <c:pt idx="74">
                  <c:v>13506012.525799962</c:v>
                </c:pt>
                <c:pt idx="75">
                  <c:v>13591126.331556845</c:v>
                </c:pt>
                <c:pt idx="76">
                  <c:v>13671915.837043734</c:v>
                </c:pt>
                <c:pt idx="77">
                  <c:v>13748622.538346218</c:v>
                </c:pt>
                <c:pt idx="78">
                  <c:v>13821474.43984524</c:v>
                </c:pt>
                <c:pt idx="79">
                  <c:v>13890686.661022613</c:v>
                </c:pt>
                <c:pt idx="80">
                  <c:v>13956462.048751013</c:v>
                </c:pt>
                <c:pt idx="81">
                  <c:v>14018991.78716905</c:v>
                </c:pt>
                <c:pt idx="82">
                  <c:v>14078455.998972243</c:v>
                </c:pt>
                <c:pt idx="83">
                  <c:v>14135024.333381513</c:v>
                </c:pt>
                <c:pt idx="84">
                  <c:v>14188856.53722755</c:v>
                </c:pt>
                <c:pt idx="85">
                  <c:v>14240103.006553542</c:v>
                </c:pt>
                <c:pt idx="86">
                  <c:v>14288905.316923382</c:v>
                </c:pt>
                <c:pt idx="87">
                  <c:v>14335396.731258098</c:v>
                </c:pt>
                <c:pt idx="88">
                  <c:v>14379702.684533713</c:v>
                </c:pt>
                <c:pt idx="89">
                  <c:v>14421941.245080596</c:v>
                </c:pt>
                <c:pt idx="90">
                  <c:v>14462223.55254542</c:v>
                </c:pt>
                <c:pt idx="91">
                  <c:v>14500654.23282693</c:v>
                </c:pt>
                <c:pt idx="92">
                  <c:v>14537331.790488115</c:v>
                </c:pt>
                <c:pt idx="93">
                  <c:v>14572348.97929148</c:v>
                </c:pt>
                <c:pt idx="94">
                  <c:v>14605793.151608601</c:v>
                </c:pt>
                <c:pt idx="95">
                  <c:v>14637746.587528342</c:v>
                </c:pt>
                <c:pt idx="96">
                  <c:v>14668286.804535465</c:v>
                </c:pt>
                <c:pt idx="97">
                  <c:v>14697486.848658463</c:v>
                </c:pt>
                <c:pt idx="98">
                  <c:v>14725415.567995891</c:v>
                </c:pt>
                <c:pt idx="99">
                  <c:v>14752137.869528506</c:v>
                </c:pt>
                <c:pt idx="100">
                  <c:v>14777714.960112188</c:v>
                </c:pt>
                <c:pt idx="101">
                  <c:v>14802204.572527006</c:v>
                </c:pt>
              </c:numCache>
            </c:numRef>
          </c:yVal>
          <c:smooth val="0"/>
        </c:ser>
        <c:axId val="65578290"/>
        <c:axId val="53333699"/>
      </c:scatterChart>
      <c:valAx>
        <c:axId val="65578290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3333699"/>
        <c:crosses val="max"/>
        <c:crossBetween val="midCat"/>
        <c:dispUnits/>
      </c:valAx>
      <c:valAx>
        <c:axId val="533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energy balance terms (W)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5578290"/>
        <c:crosses val="max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38100</xdr:rowOff>
    </xdr:from>
    <xdr:to>
      <xdr:col>9</xdr:col>
      <xdr:colOff>628650</xdr:colOff>
      <xdr:row>31</xdr:row>
      <xdr:rowOff>66675</xdr:rowOff>
    </xdr:to>
    <xdr:graphicFrame>
      <xdr:nvGraphicFramePr>
        <xdr:cNvPr id="1" name="Chart 8"/>
        <xdr:cNvGraphicFramePr/>
      </xdr:nvGraphicFramePr>
      <xdr:xfrm>
        <a:off x="3752850" y="1133475"/>
        <a:ext cx="4953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L9" sqref="L9"/>
    </sheetView>
  </sheetViews>
  <sheetFormatPr defaultColWidth="9.00390625" defaultRowHeight="12"/>
  <cols>
    <col min="1" max="1" width="14.875" style="0" customWidth="1"/>
    <col min="2" max="2" width="10.875" style="1" customWidth="1"/>
    <col min="3" max="3" width="12.00390625" style="1" bestFit="1" customWidth="1"/>
    <col min="4" max="10" width="11.375" style="0" customWidth="1"/>
    <col min="12" max="12" width="12.125" style="0" bestFit="1" customWidth="1"/>
    <col min="29" max="16384" width="11.375" style="0" customWidth="1"/>
  </cols>
  <sheetData>
    <row r="1" spans="1:6" ht="12">
      <c r="A1" s="2" t="s">
        <v>0</v>
      </c>
      <c r="B1" s="3"/>
      <c r="C1" s="12" t="s">
        <v>119</v>
      </c>
      <c r="D1" s="13"/>
      <c r="E1" s="13"/>
      <c r="F1" s="14"/>
    </row>
    <row r="2" spans="1:6" ht="12.75" thickBot="1">
      <c r="A2" s="4"/>
      <c r="B2" s="3"/>
      <c r="C2" s="15" t="s">
        <v>128</v>
      </c>
      <c r="D2" s="16"/>
      <c r="E2" s="16"/>
      <c r="F2" s="17"/>
    </row>
    <row r="3" spans="1:4" ht="12">
      <c r="A3" s="2" t="s">
        <v>62</v>
      </c>
      <c r="B3" s="3"/>
      <c r="C3" s="3"/>
      <c r="D3" s="4"/>
    </row>
    <row r="4" spans="1:6" ht="12">
      <c r="A4" s="4" t="s">
        <v>63</v>
      </c>
      <c r="B4" s="7" t="s">
        <v>66</v>
      </c>
      <c r="C4" s="6">
        <v>1</v>
      </c>
      <c r="D4" s="4" t="s">
        <v>74</v>
      </c>
      <c r="F4" s="10" t="s">
        <v>61</v>
      </c>
    </row>
    <row r="5" spans="1:9" ht="12">
      <c r="A5" s="4" t="s">
        <v>64</v>
      </c>
      <c r="B5" s="7" t="s">
        <v>67</v>
      </c>
      <c r="C5" s="6">
        <v>1</v>
      </c>
      <c r="D5" s="4" t="s">
        <v>74</v>
      </c>
      <c r="F5" t="s">
        <v>54</v>
      </c>
      <c r="G5" t="s">
        <v>55</v>
      </c>
      <c r="H5" s="9">
        <v>300</v>
      </c>
      <c r="I5" t="s">
        <v>12</v>
      </c>
    </row>
    <row r="6" spans="1:9" ht="13.5">
      <c r="A6" s="4" t="s">
        <v>73</v>
      </c>
      <c r="B6" s="1" t="s">
        <v>7</v>
      </c>
      <c r="C6" s="7">
        <f>Ht*PI()*Dt^2/4</f>
        <v>0.7853981633974483</v>
      </c>
      <c r="D6" s="4" t="s">
        <v>46</v>
      </c>
      <c r="F6" t="s">
        <v>57</v>
      </c>
      <c r="G6" t="s">
        <v>56</v>
      </c>
      <c r="H6" s="9">
        <v>650</v>
      </c>
      <c r="I6" t="s">
        <v>12</v>
      </c>
    </row>
    <row r="7" spans="1:4" ht="12">
      <c r="A7" s="4" t="s">
        <v>65</v>
      </c>
      <c r="B7" s="7" t="s">
        <v>68</v>
      </c>
      <c r="C7" s="6">
        <v>1000</v>
      </c>
      <c r="D7" s="4" t="s">
        <v>74</v>
      </c>
    </row>
    <row r="8" spans="1:4" ht="13.5">
      <c r="A8" s="4" t="s">
        <v>69</v>
      </c>
      <c r="B8" s="3" t="s">
        <v>71</v>
      </c>
      <c r="C8" s="3">
        <f>PI()*0.62*L/39.37</f>
        <v>49.47390005653218</v>
      </c>
      <c r="D8" s="4" t="s">
        <v>49</v>
      </c>
    </row>
    <row r="9" spans="1:4" ht="13.5">
      <c r="A9" s="4" t="s">
        <v>70</v>
      </c>
      <c r="B9" s="3" t="s">
        <v>72</v>
      </c>
      <c r="C9" s="3">
        <f>PI()*0.75*L/39.37</f>
        <v>59.847459745805054</v>
      </c>
      <c r="D9" s="4" t="s">
        <v>49</v>
      </c>
    </row>
    <row r="10" spans="1:4" ht="12">
      <c r="A10" s="4"/>
      <c r="B10" s="3"/>
      <c r="C10" s="3"/>
      <c r="D10" s="4"/>
    </row>
    <row r="11" spans="1:4" ht="12">
      <c r="A11" s="2" t="s">
        <v>75</v>
      </c>
      <c r="B11" s="3"/>
      <c r="C11" s="3"/>
      <c r="D11" s="4"/>
    </row>
    <row r="12" spans="1:4" ht="13.5">
      <c r="A12" s="4" t="s">
        <v>76</v>
      </c>
      <c r="B12" s="3" t="s">
        <v>78</v>
      </c>
      <c r="C12" s="6">
        <v>1000</v>
      </c>
      <c r="D12" s="4" t="s">
        <v>43</v>
      </c>
    </row>
    <row r="13" spans="1:4" ht="13.5">
      <c r="A13" s="4" t="s">
        <v>77</v>
      </c>
      <c r="B13" s="3" t="s">
        <v>79</v>
      </c>
      <c r="C13" s="6">
        <v>4200</v>
      </c>
      <c r="D13" s="4" t="s">
        <v>45</v>
      </c>
    </row>
    <row r="14" spans="1:4" ht="13.5">
      <c r="A14" s="4" t="s">
        <v>3</v>
      </c>
      <c r="B14" s="3" t="s">
        <v>4</v>
      </c>
      <c r="C14" s="6">
        <v>850</v>
      </c>
      <c r="D14" s="4" t="s">
        <v>43</v>
      </c>
    </row>
    <row r="15" spans="1:4" ht="13.5">
      <c r="A15" s="4" t="s">
        <v>5</v>
      </c>
      <c r="B15" s="3" t="s">
        <v>6</v>
      </c>
      <c r="C15" s="6">
        <v>3800</v>
      </c>
      <c r="D15" s="4" t="s">
        <v>45</v>
      </c>
    </row>
    <row r="16" spans="1:4" ht="13.5">
      <c r="A16" s="4" t="s">
        <v>8</v>
      </c>
      <c r="B16" s="3" t="s">
        <v>9</v>
      </c>
      <c r="C16" s="6">
        <v>-450000</v>
      </c>
      <c r="D16" s="4" t="s">
        <v>44</v>
      </c>
    </row>
    <row r="17" spans="1:4" ht="12">
      <c r="A17" s="4" t="s">
        <v>10</v>
      </c>
      <c r="B17" s="3" t="s">
        <v>11</v>
      </c>
      <c r="C17" s="6">
        <v>8200</v>
      </c>
      <c r="D17" s="4" t="s">
        <v>12</v>
      </c>
    </row>
    <row r="18" spans="1:4" ht="13.5">
      <c r="A18" s="4" t="s">
        <v>13</v>
      </c>
      <c r="B18" s="3" t="s">
        <v>14</v>
      </c>
      <c r="C18" s="6">
        <v>1100</v>
      </c>
      <c r="D18" s="4" t="s">
        <v>47</v>
      </c>
    </row>
    <row r="19" spans="1:4" ht="12">
      <c r="A19" s="4"/>
      <c r="B19" s="3"/>
      <c r="C19" s="3"/>
      <c r="D19" s="4"/>
    </row>
    <row r="20" spans="1:4" ht="12">
      <c r="A20" s="2" t="s">
        <v>80</v>
      </c>
      <c r="B20" s="3"/>
      <c r="C20" s="3"/>
      <c r="D20" s="4"/>
    </row>
    <row r="21" spans="1:4" ht="13.5">
      <c r="A21" s="4" t="s">
        <v>1</v>
      </c>
      <c r="B21" s="3" t="s">
        <v>30</v>
      </c>
      <c r="C21" s="5">
        <v>0.015</v>
      </c>
      <c r="D21" s="4" t="s">
        <v>41</v>
      </c>
    </row>
    <row r="22" spans="1:4" ht="12">
      <c r="A22" s="4" t="s">
        <v>81</v>
      </c>
      <c r="B22" s="1" t="s">
        <v>82</v>
      </c>
      <c r="C22" s="9">
        <v>300</v>
      </c>
      <c r="D22" s="4" t="s">
        <v>12</v>
      </c>
    </row>
    <row r="23" spans="1:4" ht="13.5">
      <c r="A23" s="4" t="s">
        <v>83</v>
      </c>
      <c r="B23" s="1" t="s">
        <v>86</v>
      </c>
      <c r="C23" s="9">
        <v>800</v>
      </c>
      <c r="D23" s="4" t="s">
        <v>48</v>
      </c>
    </row>
    <row r="24" spans="1:4" ht="13.5">
      <c r="A24" s="4" t="s">
        <v>84</v>
      </c>
      <c r="B24" s="1" t="s">
        <v>85</v>
      </c>
      <c r="C24" s="9">
        <v>1300</v>
      </c>
      <c r="D24" s="4" t="s">
        <v>48</v>
      </c>
    </row>
    <row r="25" spans="1:4" ht="13.5">
      <c r="A25" s="4" t="s">
        <v>87</v>
      </c>
      <c r="B25" s="1" t="s">
        <v>88</v>
      </c>
      <c r="C25" s="11">
        <f>1/(1/ho+Ao/(Ai*hir))</f>
        <v>438.3412644459552</v>
      </c>
      <c r="D25" s="4" t="s">
        <v>48</v>
      </c>
    </row>
    <row r="27" ht="12">
      <c r="A27" s="2" t="s">
        <v>89</v>
      </c>
    </row>
    <row r="28" spans="1:4" ht="13.5">
      <c r="A28" s="4" t="s">
        <v>90</v>
      </c>
      <c r="B28" s="3" t="s">
        <v>94</v>
      </c>
      <c r="C28" s="9">
        <v>0.002</v>
      </c>
      <c r="D28" s="4" t="s">
        <v>41</v>
      </c>
    </row>
    <row r="29" spans="1:4" ht="12">
      <c r="A29" s="4" t="s">
        <v>15</v>
      </c>
      <c r="B29" s="3" t="s">
        <v>95</v>
      </c>
      <c r="C29" s="6">
        <v>330</v>
      </c>
      <c r="D29" s="4" t="s">
        <v>12</v>
      </c>
    </row>
    <row r="30" spans="1:4" ht="13.5">
      <c r="A30" s="4" t="s">
        <v>2</v>
      </c>
      <c r="B30" s="3" t="s">
        <v>96</v>
      </c>
      <c r="C30" s="6">
        <v>2300</v>
      </c>
      <c r="D30" s="4" t="s">
        <v>42</v>
      </c>
    </row>
    <row r="32" spans="1:4" ht="12.75" thickBot="1">
      <c r="A32" s="2" t="s">
        <v>91</v>
      </c>
      <c r="B32" s="3" t="s">
        <v>129</v>
      </c>
      <c r="C32" s="1">
        <f>Trest-Tr</f>
        <v>0.0007885122959692126</v>
      </c>
      <c r="D32" s="4" t="s">
        <v>12</v>
      </c>
    </row>
    <row r="33" spans="1:10" ht="12">
      <c r="A33" s="8" t="str">
        <f>IF(ABS(Trest-Tr)/Trest&gt;0.0001,"adjust to converge Tr"," ")</f>
        <v> </v>
      </c>
      <c r="B33" s="3" t="s">
        <v>97</v>
      </c>
      <c r="C33" s="18">
        <v>326.17359330355686</v>
      </c>
      <c r="D33" s="4" t="s">
        <v>12</v>
      </c>
      <c r="E33" s="3" t="s">
        <v>53</v>
      </c>
      <c r="F33" s="3" t="s">
        <v>58</v>
      </c>
      <c r="G33" s="3" t="s">
        <v>37</v>
      </c>
      <c r="H33" s="3" t="s">
        <v>108</v>
      </c>
      <c r="I33" s="3" t="s">
        <v>59</v>
      </c>
      <c r="J33" s="3" t="s">
        <v>60</v>
      </c>
    </row>
    <row r="34" spans="1:10" ht="14.25" thickBot="1">
      <c r="A34" s="4" t="s">
        <v>16</v>
      </c>
      <c r="B34" s="3" t="s">
        <v>98</v>
      </c>
      <c r="C34" s="19">
        <f>Tir-Hr*tau_R*kr*Caor^2/(rho*Cp)-Q/(Fl*rho*Cp)</f>
        <v>326.1728047912609</v>
      </c>
      <c r="D34" s="4" t="s">
        <v>12</v>
      </c>
      <c r="E34" s="3" t="s">
        <v>12</v>
      </c>
      <c r="F34" s="3" t="s">
        <v>47</v>
      </c>
      <c r="G34" s="3" t="s">
        <v>18</v>
      </c>
      <c r="H34" s="3" t="s">
        <v>12</v>
      </c>
      <c r="I34" s="3" t="s">
        <v>12</v>
      </c>
      <c r="J34" s="3" t="s">
        <v>12</v>
      </c>
    </row>
    <row r="35" spans="1:10" ht="13.5">
      <c r="A35" s="4" t="s">
        <v>17</v>
      </c>
      <c r="B35" s="3" t="s">
        <v>99</v>
      </c>
      <c r="C35" s="3">
        <f>(-1+SQRT(1+4*tau_R*kr*Cair))/(2*tau_R*kr)</f>
        <v>2296.333064277918</v>
      </c>
      <c r="D35" s="4" t="s">
        <v>42</v>
      </c>
      <c r="E35">
        <f>Tlo</f>
        <v>300</v>
      </c>
      <c r="F35">
        <f aca="true" t="shared" si="0" ref="F35:F67">ko*EXP(-E/E35)</f>
        <v>1.4814153707935494E-09</v>
      </c>
      <c r="G35">
        <f aca="true" t="shared" si="1" ref="G35:G49">(-1+SQRT(1+4*tau_R*F35*Cair))/(2*tau_R*F35)</f>
        <v>2299.589818354933</v>
      </c>
      <c r="H35">
        <f aca="true" t="shared" si="2" ref="H35:H49">E35-betar*(E35-Tci)</f>
        <v>300</v>
      </c>
      <c r="I35">
        <f aca="true" t="shared" si="3" ref="I35:I49">Fl*rho*Cp*(E35-Tir)+Fcr*rhoc*Cpc*(H35-Tci)</f>
        <v>-1453500</v>
      </c>
      <c r="J35">
        <f aca="true" t="shared" si="4" ref="J35:J49">-Hr*V*F35*G35^2</f>
        <v>2768.7261070917193</v>
      </c>
    </row>
    <row r="36" spans="5:10" ht="12">
      <c r="E36">
        <f aca="true" t="shared" si="5" ref="E36:E68">E35+(Thi-Tlo)/100</f>
        <v>303.5</v>
      </c>
      <c r="F36">
        <f t="shared" si="0"/>
        <v>2.030352421619649E-09</v>
      </c>
      <c r="G36">
        <f t="shared" si="1"/>
        <v>2299.4379002127107</v>
      </c>
      <c r="H36">
        <f t="shared" si="2"/>
        <v>303.3459204083786</v>
      </c>
      <c r="I36">
        <f t="shared" si="3"/>
        <v>-1255819.2685696196</v>
      </c>
      <c r="J36">
        <f t="shared" si="4"/>
        <v>3794.173562030978</v>
      </c>
    </row>
    <row r="37" spans="1:10" ht="12">
      <c r="A37" s="10" t="s">
        <v>92</v>
      </c>
      <c r="E37">
        <f t="shared" si="5"/>
        <v>307</v>
      </c>
      <c r="F37">
        <f t="shared" si="0"/>
        <v>2.7627693817991634E-09</v>
      </c>
      <c r="G37">
        <f t="shared" si="1"/>
        <v>2299.2352665606945</v>
      </c>
      <c r="H37">
        <f t="shared" si="2"/>
        <v>306.69184081675724</v>
      </c>
      <c r="I37">
        <f t="shared" si="3"/>
        <v>-1058138.5371392393</v>
      </c>
      <c r="J37">
        <f t="shared" si="4"/>
        <v>5161.950717451133</v>
      </c>
    </row>
    <row r="38" spans="1:10" ht="12">
      <c r="A38" s="4" t="s">
        <v>93</v>
      </c>
      <c r="B38" s="1" t="s">
        <v>102</v>
      </c>
      <c r="C38" s="11">
        <f>Trest-betar*(Trest-Tci)</f>
        <v>325.02135999856375</v>
      </c>
      <c r="D38" s="4" t="s">
        <v>12</v>
      </c>
      <c r="E38">
        <f t="shared" si="5"/>
        <v>310.5</v>
      </c>
      <c r="F38">
        <f t="shared" si="0"/>
        <v>3.73337847981471E-09</v>
      </c>
      <c r="G38">
        <f t="shared" si="1"/>
        <v>2298.9668436298716</v>
      </c>
      <c r="H38">
        <f t="shared" si="2"/>
        <v>310.0377612251359</v>
      </c>
      <c r="I38">
        <f t="shared" si="3"/>
        <v>-860457.8057088584</v>
      </c>
      <c r="J38">
        <f t="shared" si="4"/>
        <v>6973.805496545185</v>
      </c>
    </row>
    <row r="39" spans="1:10" ht="12">
      <c r="A39" s="4" t="s">
        <v>105</v>
      </c>
      <c r="B39" s="1" t="s">
        <v>106</v>
      </c>
      <c r="C39" s="1">
        <f>(Tcor-Tci)/LN((Trest-Tci)/(Trest-Tcor))</f>
        <v>8.011837278329</v>
      </c>
      <c r="D39" s="4" t="s">
        <v>12</v>
      </c>
      <c r="E39">
        <f t="shared" si="5"/>
        <v>314</v>
      </c>
      <c r="F39">
        <f t="shared" si="0"/>
        <v>5.0112311037626215E-09</v>
      </c>
      <c r="G39">
        <f t="shared" si="1"/>
        <v>2298.6136432091726</v>
      </c>
      <c r="H39">
        <f t="shared" si="2"/>
        <v>313.3836816335145</v>
      </c>
      <c r="I39">
        <f t="shared" si="3"/>
        <v>-662777.0742784779</v>
      </c>
      <c r="J39">
        <f t="shared" si="4"/>
        <v>9357.908339097612</v>
      </c>
    </row>
    <row r="40" spans="1:10" ht="13.5">
      <c r="A40" s="4" t="s">
        <v>100</v>
      </c>
      <c r="B40" s="1" t="s">
        <v>101</v>
      </c>
      <c r="C40" s="1">
        <f>Uor*Ao*LMTD</f>
        <v>210179.4239879356</v>
      </c>
      <c r="D40" s="4" t="s">
        <v>103</v>
      </c>
      <c r="E40">
        <f t="shared" si="5"/>
        <v>317.5</v>
      </c>
      <c r="F40">
        <f t="shared" si="0"/>
        <v>6.682950904594343E-09</v>
      </c>
      <c r="G40">
        <f t="shared" si="1"/>
        <v>2298.151904727458</v>
      </c>
      <c r="H40">
        <f t="shared" si="2"/>
        <v>316.72960204189314</v>
      </c>
      <c r="I40">
        <f t="shared" si="3"/>
        <v>-465096.34284809756</v>
      </c>
      <c r="J40">
        <f t="shared" si="4"/>
        <v>12474.643090073185</v>
      </c>
    </row>
    <row r="41" spans="1:10" ht="13.5">
      <c r="A41" s="4" t="s">
        <v>29</v>
      </c>
      <c r="B41" s="3" t="s">
        <v>104</v>
      </c>
      <c r="C41" s="3">
        <f>ko*EXP(-E/Trest)</f>
        <v>1.3281126603202138E-08</v>
      </c>
      <c r="D41" s="4" t="s">
        <v>47</v>
      </c>
      <c r="E41">
        <f t="shared" si="5"/>
        <v>321</v>
      </c>
      <c r="F41">
        <f t="shared" si="0"/>
        <v>8.856573539885499E-09</v>
      </c>
      <c r="G41">
        <f t="shared" si="1"/>
        <v>2297.5520920142408</v>
      </c>
      <c r="H41">
        <f t="shared" si="2"/>
        <v>320.07552245027176</v>
      </c>
      <c r="I41">
        <f t="shared" si="3"/>
        <v>-267415.6114177172</v>
      </c>
      <c r="J41">
        <f t="shared" si="4"/>
        <v>16523.378904605524</v>
      </c>
    </row>
    <row r="42" spans="5:10" ht="12">
      <c r="E42">
        <f t="shared" si="5"/>
        <v>324.5</v>
      </c>
      <c r="F42">
        <f t="shared" si="0"/>
        <v>1.1666082347933728E-08</v>
      </c>
      <c r="G42">
        <f t="shared" si="1"/>
        <v>2296.7777324485196</v>
      </c>
      <c r="H42">
        <f t="shared" si="2"/>
        <v>323.42144285865044</v>
      </c>
      <c r="I42">
        <f t="shared" si="3"/>
        <v>-69734.87998733632</v>
      </c>
      <c r="J42">
        <f t="shared" si="4"/>
        <v>21750.30597182074</v>
      </c>
    </row>
    <row r="43" spans="1:10" ht="12">
      <c r="A43" s="2" t="s">
        <v>19</v>
      </c>
      <c r="B43" s="3"/>
      <c r="C43" s="3"/>
      <c r="D43" s="4"/>
      <c r="E43">
        <f t="shared" si="5"/>
        <v>328</v>
      </c>
      <c r="F43">
        <f t="shared" si="0"/>
        <v>1.5276738251460422E-08</v>
      </c>
      <c r="G43">
        <f t="shared" si="1"/>
        <v>2295.7840898792097</v>
      </c>
      <c r="H43">
        <f t="shared" si="2"/>
        <v>326.76736326702905</v>
      </c>
      <c r="I43">
        <f t="shared" si="3"/>
        <v>127945.85144304406</v>
      </c>
      <c r="J43">
        <f t="shared" si="4"/>
        <v>28457.39331531757</v>
      </c>
    </row>
    <row r="44" spans="1:10" ht="12">
      <c r="A44" s="4" t="s">
        <v>20</v>
      </c>
      <c r="B44" s="3" t="s">
        <v>21</v>
      </c>
      <c r="C44" s="3">
        <f>V/Fl</f>
        <v>52.35987755982989</v>
      </c>
      <c r="D44" s="4" t="s">
        <v>28</v>
      </c>
      <c r="E44">
        <f t="shared" si="5"/>
        <v>331.5</v>
      </c>
      <c r="F44">
        <f t="shared" si="0"/>
        <v>1.9891311538263695E-08</v>
      </c>
      <c r="G44">
        <f t="shared" si="1"/>
        <v>2294.5166688359027</v>
      </c>
      <c r="H44">
        <f t="shared" si="2"/>
        <v>330.1132836754077</v>
      </c>
      <c r="I44">
        <f t="shared" si="3"/>
        <v>325626.58287342446</v>
      </c>
      <c r="J44">
        <f t="shared" si="4"/>
        <v>37012.4853576244</v>
      </c>
    </row>
    <row r="45" spans="1:10" ht="12">
      <c r="A45" s="4" t="s">
        <v>115</v>
      </c>
      <c r="B45" s="3" t="s">
        <v>107</v>
      </c>
      <c r="C45" s="3">
        <f>EXP(-Uor*Ao/(Fcr*rhoc*Cpc))</f>
        <v>0.04402274046324848</v>
      </c>
      <c r="D45" s="4"/>
      <c r="E45">
        <f t="shared" si="5"/>
        <v>335</v>
      </c>
      <c r="F45">
        <f t="shared" si="0"/>
        <v>2.575733279823708E-08</v>
      </c>
      <c r="G45">
        <f t="shared" si="1"/>
        <v>2292.9095571542</v>
      </c>
      <c r="H45">
        <f t="shared" si="2"/>
        <v>333.4592040837863</v>
      </c>
      <c r="I45">
        <f t="shared" si="3"/>
        <v>523307.31430380483</v>
      </c>
      <c r="J45">
        <f t="shared" si="4"/>
        <v>47860.48920927159</v>
      </c>
    </row>
    <row r="46" spans="1:10" ht="12">
      <c r="A46" s="4" t="s">
        <v>24</v>
      </c>
      <c r="B46" s="3" t="s">
        <v>22</v>
      </c>
      <c r="C46" s="3">
        <f>tau_R/(1+2*kr*Caor*tau_R)</f>
        <v>52.19318653131847</v>
      </c>
      <c r="D46" s="4" t="s">
        <v>28</v>
      </c>
      <c r="E46">
        <f t="shared" si="5"/>
        <v>338.5</v>
      </c>
      <c r="F46">
        <f t="shared" si="0"/>
        <v>3.317549015093598E-08</v>
      </c>
      <c r="G46">
        <f t="shared" si="1"/>
        <v>2290.883628232316</v>
      </c>
      <c r="H46">
        <f t="shared" si="2"/>
        <v>336.8051244921649</v>
      </c>
      <c r="I46">
        <f t="shared" si="3"/>
        <v>720988.0457341853</v>
      </c>
      <c r="J46">
        <f t="shared" si="4"/>
        <v>61535.50943178951</v>
      </c>
    </row>
    <row r="47" spans="1:10" ht="12">
      <c r="A47" s="4" t="s">
        <v>25</v>
      </c>
      <c r="B47" s="3" t="s">
        <v>23</v>
      </c>
      <c r="C47" s="3">
        <f>tau_R/(1+Fcr*rhoc*Cpc*(1-betar)/(Fl*rho*Cp)+Hr*E*tau_R*kr*Caor^2/(rho*Cp*Tr^2))</f>
        <v>46.485661900093355</v>
      </c>
      <c r="D47" s="4" t="s">
        <v>28</v>
      </c>
      <c r="E47">
        <f t="shared" si="5"/>
        <v>342</v>
      </c>
      <c r="F47">
        <f t="shared" si="0"/>
        <v>4.2509309907939754E-08</v>
      </c>
      <c r="G47">
        <f t="shared" si="1"/>
        <v>2288.3446439774107</v>
      </c>
      <c r="H47">
        <f t="shared" si="2"/>
        <v>340.1510449005436</v>
      </c>
      <c r="I47">
        <f t="shared" si="3"/>
        <v>918668.7771645661</v>
      </c>
      <c r="J47">
        <f t="shared" si="4"/>
        <v>78673.6531525919</v>
      </c>
    </row>
    <row r="48" spans="1:10" ht="13.5">
      <c r="A48" s="4" t="s">
        <v>112</v>
      </c>
      <c r="B48" s="3" t="s">
        <v>26</v>
      </c>
      <c r="C48" s="3">
        <f>-tau_C*kr*Caor^2*E/Tr^2</f>
        <v>-0.2817324314956185</v>
      </c>
      <c r="D48" s="4" t="s">
        <v>50</v>
      </c>
      <c r="E48">
        <f t="shared" si="5"/>
        <v>345.5</v>
      </c>
      <c r="F48">
        <f t="shared" si="0"/>
        <v>5.419626790673284E-08</v>
      </c>
      <c r="G48">
        <f t="shared" si="1"/>
        <v>2285.1813262639894</v>
      </c>
      <c r="H48">
        <f t="shared" si="2"/>
        <v>343.4969653089222</v>
      </c>
      <c r="I48">
        <f t="shared" si="3"/>
        <v>1116349.5085949465</v>
      </c>
      <c r="J48">
        <f t="shared" si="4"/>
        <v>100026.047718071</v>
      </c>
    </row>
    <row r="49" spans="1:10" ht="13.5">
      <c r="A49" s="4" t="s">
        <v>113</v>
      </c>
      <c r="B49" s="3" t="s">
        <v>27</v>
      </c>
      <c r="C49" s="3">
        <f>-2*tau_T*Hr*kr*Caor/(rho*Cp)</f>
        <v>0.00039502883874692447</v>
      </c>
      <c r="D49" s="4" t="s">
        <v>51</v>
      </c>
      <c r="E49">
        <f t="shared" si="5"/>
        <v>349</v>
      </c>
      <c r="F49">
        <f t="shared" si="0"/>
        <v>6.876048885010267E-08</v>
      </c>
      <c r="G49">
        <f t="shared" si="1"/>
        <v>2281.2634993950664</v>
      </c>
      <c r="H49">
        <f t="shared" si="2"/>
        <v>346.8428857173008</v>
      </c>
      <c r="I49">
        <f t="shared" si="3"/>
        <v>1314030.2400253268</v>
      </c>
      <c r="J49">
        <f t="shared" si="4"/>
        <v>126471.37908325152</v>
      </c>
    </row>
    <row r="50" spans="1:4" ht="13.5">
      <c r="A50" s="4" t="s">
        <v>111</v>
      </c>
      <c r="B50" s="3" t="s">
        <v>114</v>
      </c>
      <c r="C50" s="3">
        <f>(tau_T/tau_R)*rhoc*Cpc*(Tr-Tci)/(Fl*rho*Cp)*(betar*Uor*Ao*(1-0.8*Uor*Ao/(Ai*hir))/(Fcr*rhoc*Cpc)-(1-betar))</f>
        <v>-1795.5428987018215</v>
      </c>
      <c r="D50" s="4" t="s">
        <v>120</v>
      </c>
    </row>
    <row r="51" spans="1:10" ht="13.5">
      <c r="A51" s="4" t="s">
        <v>116</v>
      </c>
      <c r="B51" s="3"/>
      <c r="C51" s="3">
        <f>tau_C*tau_T/(1-Kct*Ktc)</f>
        <v>2425.9648310494954</v>
      </c>
      <c r="D51" s="4" t="s">
        <v>118</v>
      </c>
      <c r="E51">
        <f>E49+(Thi-Tlo)/100</f>
        <v>352.5</v>
      </c>
      <c r="F51">
        <f t="shared" si="0"/>
        <v>8.682720100561523E-08</v>
      </c>
      <c r="G51">
        <f aca="true" t="shared" si="6" ref="G51:G82">(-1+SQRT(1+4*tau_R*F51*Cair))/(2*tau_R*F51)</f>
        <v>2276.440448911491</v>
      </c>
      <c r="H51">
        <f aca="true" t="shared" si="7" ref="H51:H82">E51-betar*(E51-Tci)</f>
        <v>350.18880612567943</v>
      </c>
      <c r="I51">
        <f aca="true" t="shared" si="8" ref="I51:I82">Fl*rho*Cp*(E51-Tir)+Fcr*rhoc*Cpc*(H51-Tci)</f>
        <v>1511710.9714557072</v>
      </c>
      <c r="J51">
        <f aca="true" t="shared" si="9" ref="J51:J82">-Hr*V*F51*G51^2</f>
        <v>159026.9698474453</v>
      </c>
    </row>
    <row r="52" spans="1:10" ht="12">
      <c r="A52" s="4" t="s">
        <v>117</v>
      </c>
      <c r="B52" s="3"/>
      <c r="C52" s="3">
        <f>(tau_C+tau_T)/(1-Kct*Ktc)</f>
        <v>98.66786744416292</v>
      </c>
      <c r="D52" s="4" t="s">
        <v>28</v>
      </c>
      <c r="E52">
        <f t="shared" si="5"/>
        <v>356</v>
      </c>
      <c r="F52">
        <f t="shared" si="0"/>
        <v>1.0913912347903348E-07</v>
      </c>
      <c r="G52">
        <f t="shared" si="6"/>
        <v>2270.5396921611427</v>
      </c>
      <c r="H52">
        <f t="shared" si="7"/>
        <v>353.5347265340581</v>
      </c>
      <c r="I52">
        <f t="shared" si="8"/>
        <v>1709391.702886088</v>
      </c>
      <c r="J52">
        <f t="shared" si="9"/>
        <v>198857.07791221116</v>
      </c>
    </row>
    <row r="53" spans="1:10" ht="12">
      <c r="A53" s="4" t="s">
        <v>109</v>
      </c>
      <c r="B53" s="1">
        <f>IF(beta^2&gt;4*alpha,(-beta+SQRT(beta^2-4*alpha))/2,-beta/2)</f>
        <v>-46.528192207752134</v>
      </c>
      <c r="C53" s="1">
        <f>IF(beta^2&gt;4*alpha,0,(SQRT(4*alpha-beta^2))/2)</f>
        <v>0</v>
      </c>
      <c r="D53" s="4" t="s">
        <v>28</v>
      </c>
      <c r="E53">
        <f t="shared" si="5"/>
        <v>359.5</v>
      </c>
      <c r="F53">
        <f t="shared" si="0"/>
        <v>1.3657497288698476E-07</v>
      </c>
      <c r="G53">
        <f t="shared" si="6"/>
        <v>2263.3664102068747</v>
      </c>
      <c r="H53">
        <f t="shared" si="7"/>
        <v>356.8806469424367</v>
      </c>
      <c r="I53">
        <f t="shared" si="8"/>
        <v>1907072.4343164684</v>
      </c>
      <c r="J53">
        <f t="shared" si="9"/>
        <v>247276.7311035644</v>
      </c>
    </row>
    <row r="54" spans="1:10" ht="12">
      <c r="A54" s="4" t="s">
        <v>110</v>
      </c>
      <c r="B54" s="3">
        <f>IF(beta^2&gt;4*alpha,(-beta-SQRT(beta^2-4*alpha))/2,-beta/2)</f>
        <v>-52.13967523641079</v>
      </c>
      <c r="C54" s="3">
        <f>IF(beta^2&gt;4*alpha,0,(-SQRT(4*alpha-beta^2))/2)</f>
        <v>0</v>
      </c>
      <c r="D54" s="4" t="s">
        <v>28</v>
      </c>
      <c r="E54">
        <f t="shared" si="5"/>
        <v>363</v>
      </c>
      <c r="F54">
        <f t="shared" si="0"/>
        <v>1.7017028552997263E-07</v>
      </c>
      <c r="G54">
        <f t="shared" si="6"/>
        <v>2254.703842731617</v>
      </c>
      <c r="H54">
        <f t="shared" si="7"/>
        <v>360.22656735081534</v>
      </c>
      <c r="I54">
        <f t="shared" si="8"/>
        <v>2104753.165746849</v>
      </c>
      <c r="J54">
        <f t="shared" si="9"/>
        <v>305749.06156158214</v>
      </c>
    </row>
    <row r="55" spans="1:10" ht="12">
      <c r="A55" s="4" t="s">
        <v>33</v>
      </c>
      <c r="B55" s="3" t="s">
        <v>34</v>
      </c>
      <c r="C55" s="3">
        <f>SQRT(tau_C*tau_T/(1-Kct*Ktc))</f>
        <v>49.25408440981819</v>
      </c>
      <c r="D55" s="4" t="s">
        <v>28</v>
      </c>
      <c r="E55">
        <f t="shared" si="5"/>
        <v>366.5</v>
      </c>
      <c r="F55">
        <f t="shared" si="0"/>
        <v>2.1114076001912026E-07</v>
      </c>
      <c r="G55">
        <f t="shared" si="6"/>
        <v>2244.3149874151186</v>
      </c>
      <c r="H55">
        <f t="shared" si="7"/>
        <v>363.57248775919396</v>
      </c>
      <c r="I55">
        <f t="shared" si="8"/>
        <v>2302433.897177229</v>
      </c>
      <c r="J55">
        <f t="shared" si="9"/>
        <v>375873.8349479634</v>
      </c>
    </row>
    <row r="56" spans="1:10" ht="12">
      <c r="A56" s="4" t="s">
        <v>31</v>
      </c>
      <c r="B56" s="3" t="s">
        <v>32</v>
      </c>
      <c r="C56" s="3">
        <f>(tau_C+tau_T)/(1-Kct*Ktc)/(2*tau)</f>
        <v>1.0016211713854812</v>
      </c>
      <c r="D56" s="4"/>
      <c r="E56">
        <f t="shared" si="5"/>
        <v>370</v>
      </c>
      <c r="F56">
        <f t="shared" si="0"/>
        <v>2.609083336516664E-07</v>
      </c>
      <c r="G56">
        <f t="shared" si="6"/>
        <v>2231.9459582512263</v>
      </c>
      <c r="H56">
        <f t="shared" si="7"/>
        <v>366.9184081675726</v>
      </c>
      <c r="I56">
        <f t="shared" si="8"/>
        <v>2500114.62860761</v>
      </c>
      <c r="J56">
        <f t="shared" si="9"/>
        <v>459364.7818042446</v>
      </c>
    </row>
    <row r="57" spans="1:10" ht="12">
      <c r="A57" s="4" t="s">
        <v>122</v>
      </c>
      <c r="B57" s="3"/>
      <c r="C57" s="3">
        <f>tau^2/(tau_R*tau_C)</f>
        <v>0.8877119492911751</v>
      </c>
      <c r="D57" s="4"/>
      <c r="E57">
        <f t="shared" si="5"/>
        <v>373.5</v>
      </c>
      <c r="F57">
        <f t="shared" si="0"/>
        <v>3.211302135759991E-07</v>
      </c>
      <c r="G57">
        <f t="shared" si="6"/>
        <v>2217.3313252649878</v>
      </c>
      <c r="H57">
        <f t="shared" si="7"/>
        <v>370.26432857595125</v>
      </c>
      <c r="I57">
        <f t="shared" si="8"/>
        <v>2697795.3600379904</v>
      </c>
      <c r="J57">
        <f t="shared" si="9"/>
        <v>558013.5544613547</v>
      </c>
    </row>
    <row r="58" spans="1:10" ht="13.5">
      <c r="A58" s="4" t="s">
        <v>123</v>
      </c>
      <c r="B58" s="3"/>
      <c r="C58" s="3">
        <f>tau^2*Ktc/(tau_R*tau_T)</f>
        <v>0.00039372742021867677</v>
      </c>
      <c r="D58" s="4" t="s">
        <v>51</v>
      </c>
      <c r="E58">
        <f t="shared" si="5"/>
        <v>377</v>
      </c>
      <c r="F58">
        <f t="shared" si="0"/>
        <v>3.9373109085425354E-07</v>
      </c>
      <c r="G58">
        <f t="shared" si="6"/>
        <v>2200.201661914709</v>
      </c>
      <c r="H58">
        <f t="shared" si="7"/>
        <v>373.61024898432987</v>
      </c>
      <c r="I58">
        <f t="shared" si="8"/>
        <v>2895476.091468371</v>
      </c>
      <c r="J58">
        <f t="shared" si="9"/>
        <v>673638.7820756944</v>
      </c>
    </row>
    <row r="59" spans="1:10" ht="13.5">
      <c r="A59" s="4" t="s">
        <v>124</v>
      </c>
      <c r="B59" s="3"/>
      <c r="C59" s="3">
        <f>tau^2*Kht/(tau_C*tau_T)</f>
        <v>-1795.3430905971575</v>
      </c>
      <c r="D59" s="4" t="s">
        <v>120</v>
      </c>
      <c r="E59">
        <f t="shared" si="5"/>
        <v>380.5</v>
      </c>
      <c r="F59">
        <f t="shared" si="0"/>
        <v>4.809387718402385E-07</v>
      </c>
      <c r="G59">
        <f t="shared" si="6"/>
        <v>2180.293351130481</v>
      </c>
      <c r="H59">
        <f t="shared" si="7"/>
        <v>376.9561693927085</v>
      </c>
      <c r="I59">
        <f t="shared" si="8"/>
        <v>3093156.822898751</v>
      </c>
      <c r="J59">
        <f t="shared" si="9"/>
        <v>808019.8798692601</v>
      </c>
    </row>
    <row r="60" spans="1:10" ht="13.5">
      <c r="A60" s="4" t="s">
        <v>125</v>
      </c>
      <c r="B60" s="3"/>
      <c r="C60" s="3">
        <f>tau^2*Kct/(tau_R*tau_C)</f>
        <v>-0.25009724594151794</v>
      </c>
      <c r="D60" s="4" t="s">
        <v>50</v>
      </c>
      <c r="E60">
        <f t="shared" si="5"/>
        <v>384</v>
      </c>
      <c r="F60">
        <f t="shared" si="0"/>
        <v>5.85323466768134E-07</v>
      </c>
      <c r="G60">
        <f t="shared" si="6"/>
        <v>2157.3604430688524</v>
      </c>
      <c r="H60">
        <f t="shared" si="7"/>
        <v>380.3020898010871</v>
      </c>
      <c r="I60">
        <f t="shared" si="8"/>
        <v>3290837.5543291317</v>
      </c>
      <c r="J60">
        <f t="shared" si="9"/>
        <v>962817.0092852435</v>
      </c>
    </row>
    <row r="61" spans="1:10" ht="12">
      <c r="A61" s="4" t="s">
        <v>126</v>
      </c>
      <c r="B61" s="3"/>
      <c r="C61" s="3">
        <f>tau^2/(tau_R*tau_T)</f>
        <v>0.9967055100777554</v>
      </c>
      <c r="D61" s="4"/>
      <c r="E61">
        <f t="shared" si="5"/>
        <v>387.5</v>
      </c>
      <c r="F61">
        <f t="shared" si="0"/>
        <v>7.098409800236306E-07</v>
      </c>
      <c r="G61">
        <f t="shared" si="6"/>
        <v>2131.188033730909</v>
      </c>
      <c r="H61">
        <f t="shared" si="7"/>
        <v>383.6480102094658</v>
      </c>
      <c r="I61">
        <f t="shared" si="8"/>
        <v>3488518.2857595123</v>
      </c>
      <c r="J61">
        <f t="shared" si="9"/>
        <v>1139480.772316354</v>
      </c>
    </row>
    <row r="62" spans="1:10" ht="13.5">
      <c r="A62" s="4" t="s">
        <v>127</v>
      </c>
      <c r="B62" s="3"/>
      <c r="C62" s="3">
        <f>tau^2*Kct*Kht/(tau_C*tau_T)</f>
        <v>505.8063742827957</v>
      </c>
      <c r="D62" s="4" t="s">
        <v>121</v>
      </c>
      <c r="E62">
        <f t="shared" si="5"/>
        <v>391</v>
      </c>
      <c r="F62">
        <f t="shared" si="0"/>
        <v>8.578800501803853E-07</v>
      </c>
      <c r="G62">
        <f t="shared" si="6"/>
        <v>2101.6062857188413</v>
      </c>
      <c r="H62">
        <f t="shared" si="7"/>
        <v>386.9939306178444</v>
      </c>
      <c r="I62">
        <f t="shared" si="8"/>
        <v>3686199.017189893</v>
      </c>
      <c r="J62">
        <f t="shared" si="9"/>
        <v>1339157.5713978298</v>
      </c>
    </row>
    <row r="63" spans="1:10" ht="12">
      <c r="A63" s="4" t="s">
        <v>130</v>
      </c>
      <c r="B63" s="3"/>
      <c r="C63" s="3"/>
      <c r="D63" s="4"/>
      <c r="E63">
        <f t="shared" si="5"/>
        <v>394.5</v>
      </c>
      <c r="F63">
        <f t="shared" si="0"/>
        <v>1.033314090474008E-06</v>
      </c>
      <c r="G63">
        <f t="shared" si="6"/>
        <v>2068.503907360381</v>
      </c>
      <c r="H63">
        <f t="shared" si="7"/>
        <v>390.339851026223</v>
      </c>
      <c r="I63">
        <f t="shared" si="8"/>
        <v>3883879.7486202735</v>
      </c>
      <c r="J63">
        <f t="shared" si="9"/>
        <v>1562598.6253174238</v>
      </c>
    </row>
    <row r="64" spans="1:10" ht="13.5">
      <c r="A64" s="4" t="s">
        <v>35</v>
      </c>
      <c r="B64" s="3" t="s">
        <v>36</v>
      </c>
      <c r="C64" s="3" t="e">
        <f>SQRT(1-xi^2)/tau</f>
        <v>#NUM!</v>
      </c>
      <c r="D64" s="4" t="s">
        <v>52</v>
      </c>
      <c r="E64">
        <f t="shared" si="5"/>
        <v>398</v>
      </c>
      <c r="F64">
        <f t="shared" si="0"/>
        <v>1.2405575819029227E-06</v>
      </c>
      <c r="G64">
        <f t="shared" si="6"/>
        <v>2031.8397242766468</v>
      </c>
      <c r="H64">
        <f t="shared" si="7"/>
        <v>393.68577143460163</v>
      </c>
      <c r="I64">
        <f t="shared" si="8"/>
        <v>4081560.4800506537</v>
      </c>
      <c r="J64">
        <f t="shared" si="9"/>
        <v>1810081.861132635</v>
      </c>
    </row>
    <row r="65" spans="1:10" ht="12">
      <c r="A65" s="4" t="s">
        <v>38</v>
      </c>
      <c r="B65" s="3" t="s">
        <v>39</v>
      </c>
      <c r="C65" s="3" t="e">
        <f>ATAN(SQRT(1-xi^2)/xi)</f>
        <v>#NUM!</v>
      </c>
      <c r="D65" s="4" t="s">
        <v>40</v>
      </c>
      <c r="E65">
        <f t="shared" si="5"/>
        <v>401.5</v>
      </c>
      <c r="F65">
        <f t="shared" si="0"/>
        <v>1.4846273715483224E-06</v>
      </c>
      <c r="G65">
        <f t="shared" si="6"/>
        <v>1991.6509899273588</v>
      </c>
      <c r="H65">
        <f t="shared" si="7"/>
        <v>397.0316918429803</v>
      </c>
      <c r="I65">
        <f t="shared" si="8"/>
        <v>4279241.211481035</v>
      </c>
      <c r="J65">
        <f t="shared" si="9"/>
        <v>2081355.8179903259</v>
      </c>
    </row>
    <row r="66" spans="1:10" ht="12">
      <c r="A66" s="4"/>
      <c r="B66" s="3"/>
      <c r="C66" s="3"/>
      <c r="D66" s="4"/>
      <c r="E66">
        <f t="shared" si="5"/>
        <v>405</v>
      </c>
      <c r="F66">
        <f t="shared" si="0"/>
        <v>1.7712091279586656E-06</v>
      </c>
      <c r="G66">
        <f t="shared" si="6"/>
        <v>1948.057325852632</v>
      </c>
      <c r="H66">
        <f t="shared" si="7"/>
        <v>400.3776122513589</v>
      </c>
      <c r="I66">
        <f t="shared" si="8"/>
        <v>4476921.942911415</v>
      </c>
      <c r="J66">
        <f t="shared" si="9"/>
        <v>2375613.050494735</v>
      </c>
    </row>
    <row r="67" spans="2:10" ht="12">
      <c r="B67"/>
      <c r="C67"/>
      <c r="E67">
        <f t="shared" si="5"/>
        <v>408.5</v>
      </c>
      <c r="F67">
        <f t="shared" si="0"/>
        <v>2.1067292035216595E-06</v>
      </c>
      <c r="G67">
        <f t="shared" si="6"/>
        <v>1901.2596404294654</v>
      </c>
      <c r="H67">
        <f t="shared" si="7"/>
        <v>403.72353265973754</v>
      </c>
      <c r="I67">
        <f t="shared" si="8"/>
        <v>4674602.674341795</v>
      </c>
      <c r="J67">
        <f t="shared" si="9"/>
        <v>2691497.427101105</v>
      </c>
    </row>
    <row r="68" spans="2:10" ht="12">
      <c r="B68"/>
      <c r="C68"/>
      <c r="E68">
        <f t="shared" si="5"/>
        <v>412</v>
      </c>
      <c r="F68">
        <f aca="true" t="shared" si="10" ref="F68:F99">ko*EXP(-E/E68)</f>
        <v>2.498432150629366E-06</v>
      </c>
      <c r="G68">
        <f t="shared" si="6"/>
        <v>1851.5339706921072</v>
      </c>
      <c r="H68">
        <f t="shared" si="7"/>
        <v>407.06945306811616</v>
      </c>
      <c r="I68">
        <f t="shared" si="8"/>
        <v>4872283.405772176</v>
      </c>
      <c r="J68">
        <f t="shared" si="9"/>
        <v>3027145.6978282756</v>
      </c>
    </row>
    <row r="69" spans="5:10" ht="12">
      <c r="E69">
        <f aca="true" t="shared" si="11" ref="E69:E100">E68+(Thi-Tlo)/100</f>
        <v>415.5</v>
      </c>
      <c r="F69">
        <f t="shared" si="10"/>
        <v>2.9544641341203307E-06</v>
      </c>
      <c r="G69">
        <f t="shared" si="6"/>
        <v>1799.2208083210032</v>
      </c>
      <c r="H69">
        <f t="shared" si="7"/>
        <v>410.4153734764948</v>
      </c>
      <c r="I69">
        <f t="shared" si="8"/>
        <v>5069964.137202556</v>
      </c>
      <c r="J69">
        <f t="shared" si="9"/>
        <v>3380259.5438332297</v>
      </c>
    </row>
    <row r="70" spans="5:10" ht="12">
      <c r="E70">
        <f t="shared" si="11"/>
        <v>419</v>
      </c>
      <c r="F70">
        <f t="shared" si="10"/>
        <v>3.483962476953656E-06</v>
      </c>
      <c r="G70">
        <f t="shared" si="6"/>
        <v>1744.7109849745596</v>
      </c>
      <c r="H70">
        <f t="shared" si="7"/>
        <v>413.76129388487345</v>
      </c>
      <c r="I70">
        <f t="shared" si="8"/>
        <v>5267644.868632937</v>
      </c>
      <c r="J70">
        <f t="shared" si="9"/>
        <v>3748200.8514217287</v>
      </c>
    </row>
    <row r="71" spans="5:10" ht="12">
      <c r="E71">
        <f t="shared" si="11"/>
        <v>422.5</v>
      </c>
      <c r="F71">
        <f t="shared" si="10"/>
        <v>4.097151569341238E-06</v>
      </c>
      <c r="G71">
        <f t="shared" si="6"/>
        <v>1688.4295103512147</v>
      </c>
      <c r="H71">
        <f t="shared" si="7"/>
        <v>417.10721429325207</v>
      </c>
      <c r="I71">
        <f t="shared" si="8"/>
        <v>5465325.600063317</v>
      </c>
      <c r="J71">
        <f t="shared" si="9"/>
        <v>4128100.805129305</v>
      </c>
    </row>
    <row r="72" spans="5:10" ht="12">
      <c r="E72">
        <f t="shared" si="11"/>
        <v>426</v>
      </c>
      <c r="F72">
        <f t="shared" si="10"/>
        <v>4.805445363648406E-06</v>
      </c>
      <c r="G72">
        <f t="shared" si="6"/>
        <v>1630.81883941214</v>
      </c>
      <c r="H72">
        <f t="shared" si="7"/>
        <v>420.4531347016307</v>
      </c>
      <c r="I72">
        <f t="shared" si="8"/>
        <v>5663006.331493698</v>
      </c>
      <c r="J72">
        <f t="shared" si="9"/>
        <v>4516972.833968056</v>
      </c>
    </row>
    <row r="73" spans="5:10" ht="12">
      <c r="E73">
        <f t="shared" si="11"/>
        <v>429.5</v>
      </c>
      <c r="F73">
        <f t="shared" si="10"/>
        <v>5.621556668294023E-06</v>
      </c>
      <c r="G73">
        <f t="shared" si="6"/>
        <v>1572.32291147544</v>
      </c>
      <c r="H73">
        <f t="shared" si="7"/>
        <v>423.7990551100093</v>
      </c>
      <c r="I73">
        <f t="shared" si="8"/>
        <v>5860687.062924078</v>
      </c>
      <c r="J73">
        <f t="shared" si="9"/>
        <v>4911820.347540778</v>
      </c>
    </row>
    <row r="74" spans="5:10" ht="12">
      <c r="E74">
        <f t="shared" si="11"/>
        <v>433</v>
      </c>
      <c r="F74">
        <f t="shared" si="10"/>
        <v>6.559613443666012E-06</v>
      </c>
      <c r="G74">
        <f t="shared" si="6"/>
        <v>1513.373014579545</v>
      </c>
      <c r="H74">
        <f t="shared" si="7"/>
        <v>427.144975518388</v>
      </c>
      <c r="I74">
        <f t="shared" si="8"/>
        <v>6058367.794354459</v>
      </c>
      <c r="J74">
        <f t="shared" si="9"/>
        <v>5309732.151588071</v>
      </c>
    </row>
    <row r="75" spans="5:10" ht="12">
      <c r="E75">
        <f t="shared" si="11"/>
        <v>436.5</v>
      </c>
      <c r="F75">
        <f t="shared" si="10"/>
        <v>7.635282291755566E-06</v>
      </c>
      <c r="G75">
        <f t="shared" si="6"/>
        <v>1454.3761630676124</v>
      </c>
      <c r="H75">
        <f t="shared" si="7"/>
        <v>430.4908959267666</v>
      </c>
      <c r="I75">
        <f t="shared" si="8"/>
        <v>6256048.525784839</v>
      </c>
      <c r="J75">
        <f t="shared" si="9"/>
        <v>5707960.899293613</v>
      </c>
    </row>
    <row r="76" spans="5:10" ht="12">
      <c r="E76">
        <f t="shared" si="11"/>
        <v>440</v>
      </c>
      <c r="F76">
        <f t="shared" si="10"/>
        <v>8.865899318845197E-06</v>
      </c>
      <c r="G76">
        <f t="shared" si="6"/>
        <v>1395.7063091533244</v>
      </c>
      <c r="H76">
        <f t="shared" si="7"/>
        <v>433.8368163351452</v>
      </c>
      <c r="I76">
        <f t="shared" si="8"/>
        <v>6453729.25721522</v>
      </c>
      <c r="J76">
        <f t="shared" si="9"/>
        <v>6103982.413215061</v>
      </c>
    </row>
    <row r="77" spans="5:10" ht="12">
      <c r="E77">
        <f t="shared" si="11"/>
        <v>443.5</v>
      </c>
      <c r="F77">
        <f t="shared" si="10"/>
        <v>1.0270608537211258E-05</v>
      </c>
      <c r="G77">
        <f t="shared" si="6"/>
        <v>1337.698394440719</v>
      </c>
      <c r="H77">
        <f t="shared" si="7"/>
        <v>437.18273674352383</v>
      </c>
      <c r="I77">
        <f t="shared" si="8"/>
        <v>6651409.9886456</v>
      </c>
      <c r="J77">
        <f t="shared" si="9"/>
        <v>6495535.837525148</v>
      </c>
    </row>
    <row r="78" spans="5:10" ht="12">
      <c r="E78">
        <f t="shared" si="11"/>
        <v>447</v>
      </c>
      <c r="F78">
        <f t="shared" si="10"/>
        <v>1.1870507957477753E-05</v>
      </c>
      <c r="G78">
        <f t="shared" si="6"/>
        <v>1280.6450138004132</v>
      </c>
      <c r="H78">
        <f t="shared" si="7"/>
        <v>440.52865715190245</v>
      </c>
      <c r="I78">
        <f t="shared" si="8"/>
        <v>6849090.720075981</v>
      </c>
      <c r="J78">
        <f t="shared" si="9"/>
        <v>6880646.156847211</v>
      </c>
    </row>
    <row r="79" spans="5:10" ht="12">
      <c r="E79">
        <f t="shared" si="11"/>
        <v>450.5</v>
      </c>
      <c r="F79">
        <f t="shared" si="10"/>
        <v>1.3688803508042076E-05</v>
      </c>
      <c r="G79">
        <f t="shared" si="6"/>
        <v>1224.7953179234814</v>
      </c>
      <c r="H79">
        <f t="shared" si="7"/>
        <v>443.8745775602811</v>
      </c>
      <c r="I79">
        <f t="shared" si="8"/>
        <v>7046771.451506361</v>
      </c>
      <c r="J79">
        <f t="shared" si="9"/>
        <v>7257631.6040165</v>
      </c>
    </row>
    <row r="80" spans="5:10" ht="12">
      <c r="E80">
        <f t="shared" si="11"/>
        <v>454</v>
      </c>
      <c r="F80">
        <f t="shared" si="10"/>
        <v>1.575097090195338E-05</v>
      </c>
      <c r="G80">
        <f t="shared" si="6"/>
        <v>1170.355712891785</v>
      </c>
      <c r="H80">
        <f t="shared" si="7"/>
        <v>447.22049796865974</v>
      </c>
      <c r="I80">
        <f t="shared" si="8"/>
        <v>7244452.182936742</v>
      </c>
      <c r="J80">
        <f t="shared" si="9"/>
        <v>7625098.937980451</v>
      </c>
    </row>
    <row r="81" spans="5:10" ht="12">
      <c r="E81">
        <f t="shared" si="11"/>
        <v>457.5</v>
      </c>
      <c r="F81">
        <f t="shared" si="10"/>
        <v>1.808492555482617E-05</v>
      </c>
      <c r="G81">
        <f t="shared" si="6"/>
        <v>1117.4919077112029</v>
      </c>
      <c r="H81">
        <f t="shared" si="7"/>
        <v>450.56641837703836</v>
      </c>
      <c r="I81">
        <f t="shared" si="8"/>
        <v>7442132.914367123</v>
      </c>
      <c r="J81">
        <f t="shared" si="9"/>
        <v>7981929.622949375</v>
      </c>
    </row>
    <row r="82" spans="5:10" ht="12">
      <c r="E82">
        <f t="shared" si="11"/>
        <v>461</v>
      </c>
      <c r="F82">
        <f t="shared" si="10"/>
        <v>2.0721200639890075E-05</v>
      </c>
      <c r="G82">
        <f t="shared" si="6"/>
        <v>1066.3318944331093</v>
      </c>
      <c r="H82">
        <f t="shared" si="7"/>
        <v>453.912338785417</v>
      </c>
      <c r="I82">
        <f t="shared" si="8"/>
        <v>7639813.645797502</v>
      </c>
      <c r="J82">
        <f t="shared" si="9"/>
        <v>8327259.71257651</v>
      </c>
    </row>
    <row r="83" spans="5:10" ht="12">
      <c r="E83">
        <f t="shared" si="11"/>
        <v>464.5</v>
      </c>
      <c r="F83">
        <f t="shared" si="10"/>
        <v>2.36931333481871E-05</v>
      </c>
      <c r="G83">
        <f aca="true" t="shared" si="12" ref="G83:G114">(-1+SQRT(1+4*tau_R*F83*Cair))/(2*tau_R*F83)</f>
        <v>1016.9695026279164</v>
      </c>
      <c r="H83">
        <f aca="true" t="shared" si="13" ref="H83:H114">E83-betar*(E83-Tci)</f>
        <v>457.25825919379565</v>
      </c>
      <c r="I83">
        <f aca="true" t="shared" si="14" ref="I83:I114">Fl*rho*Cp*(E83-Tir)+Fcr*rhoc*Cpc*(H83-Tci)</f>
        <v>7837494.377227884</v>
      </c>
      <c r="J83">
        <f aca="true" t="shared" si="15" ref="J83:J114">-Hr*V*F83*G83^2</f>
        <v>8660455.857261565</v>
      </c>
    </row>
    <row r="84" spans="5:10" ht="12">
      <c r="E84">
        <f t="shared" si="11"/>
        <v>468</v>
      </c>
      <c r="F84">
        <f t="shared" si="10"/>
        <v>2.703705940330284E-05</v>
      </c>
      <c r="G84">
        <f t="shared" si="12"/>
        <v>969.4682367476112</v>
      </c>
      <c r="H84">
        <f t="shared" si="13"/>
        <v>460.60417960217427</v>
      </c>
      <c r="I84">
        <f t="shared" si="14"/>
        <v>8035175.108658263</v>
      </c>
      <c r="J84">
        <f t="shared" si="15"/>
        <v>8981089.401953625</v>
      </c>
    </row>
    <row r="85" spans="5:10" ht="12">
      <c r="E85">
        <f t="shared" si="11"/>
        <v>471.5</v>
      </c>
      <c r="F85">
        <f t="shared" si="10"/>
        <v>3.079251586094825E-05</v>
      </c>
      <c r="G85">
        <f t="shared" si="12"/>
        <v>923.8651716876556</v>
      </c>
      <c r="H85">
        <f t="shared" si="13"/>
        <v>463.9501000105529</v>
      </c>
      <c r="I85">
        <f t="shared" si="14"/>
        <v>8232855.840088644</v>
      </c>
      <c r="J85">
        <f t="shared" si="15"/>
        <v>9288910.091108324</v>
      </c>
    </row>
    <row r="86" spans="5:10" ht="12">
      <c r="E86">
        <f t="shared" si="11"/>
        <v>475</v>
      </c>
      <c r="F86">
        <f t="shared" si="10"/>
        <v>3.500245220425715E-05</v>
      </c>
      <c r="G86">
        <f t="shared" si="12"/>
        <v>880.1747427353914</v>
      </c>
      <c r="H86">
        <f t="shared" si="13"/>
        <v>467.2960204189315</v>
      </c>
      <c r="I86">
        <f t="shared" si="14"/>
        <v>8430536.571519025</v>
      </c>
      <c r="J86">
        <f t="shared" si="15"/>
        <v>9583820.48653611</v>
      </c>
    </row>
    <row r="87" spans="5:10" ht="12">
      <c r="E87">
        <f t="shared" si="11"/>
        <v>478.5</v>
      </c>
      <c r="F87">
        <f t="shared" si="10"/>
        <v>3.971344972593531E-05</v>
      </c>
      <c r="G87">
        <f t="shared" si="12"/>
        <v>838.3923180890882</v>
      </c>
      <c r="H87">
        <f t="shared" si="13"/>
        <v>470.6419408273101</v>
      </c>
      <c r="I87">
        <f t="shared" si="14"/>
        <v>8628217.302949404</v>
      </c>
      <c r="J87">
        <f t="shared" si="15"/>
        <v>9865851.852898654</v>
      </c>
    </row>
    <row r="88" spans="5:10" ht="12">
      <c r="E88">
        <f t="shared" si="11"/>
        <v>482</v>
      </c>
      <c r="F88">
        <f t="shared" si="10"/>
        <v>4.497594916844483E-05</v>
      </c>
      <c r="G88">
        <f t="shared" si="12"/>
        <v>798.4974843089346</v>
      </c>
      <c r="H88">
        <f t="shared" si="13"/>
        <v>473.9878612356888</v>
      </c>
      <c r="I88">
        <f t="shared" si="14"/>
        <v>8825898.034379786</v>
      </c>
      <c r="J88">
        <f t="shared" si="15"/>
        <v>10135141.980914691</v>
      </c>
    </row>
    <row r="89" spans="5:10" ht="12">
      <c r="E89">
        <f t="shared" si="11"/>
        <v>485.5</v>
      </c>
      <c r="F89">
        <f t="shared" si="10"/>
        <v>5.084448657333842E-05</v>
      </c>
      <c r="G89">
        <f t="shared" si="12"/>
        <v>760.4570077629322</v>
      </c>
      <c r="H89">
        <f t="shared" si="13"/>
        <v>477.3337816440674</v>
      </c>
      <c r="I89">
        <f t="shared" si="14"/>
        <v>9023578.765810166</v>
      </c>
      <c r="J89">
        <f t="shared" si="15"/>
        <v>10391915.197600206</v>
      </c>
    </row>
    <row r="90" spans="5:10" ht="12">
      <c r="E90">
        <f t="shared" si="11"/>
        <v>489</v>
      </c>
      <c r="F90">
        <f t="shared" si="10"/>
        <v>5.7377937270735494E-05</v>
      </c>
      <c r="G90">
        <f t="shared" si="12"/>
        <v>724.2274594063401</v>
      </c>
      <c r="H90">
        <f t="shared" si="13"/>
        <v>480.67970205244603</v>
      </c>
      <c r="I90">
        <f t="shared" si="14"/>
        <v>9221259.497240547</v>
      </c>
      <c r="J90">
        <f t="shared" si="15"/>
        <v>10636464.649007203</v>
      </c>
    </row>
    <row r="91" spans="5:10" ht="12">
      <c r="E91">
        <f t="shared" si="11"/>
        <v>492.5</v>
      </c>
      <c r="F91">
        <f t="shared" si="10"/>
        <v>6.463976791983689E-05</v>
      </c>
      <c r="G91">
        <f t="shared" si="12"/>
        <v>689.7575074321134</v>
      </c>
      <c r="H91">
        <f t="shared" si="13"/>
        <v>484.02562246082465</v>
      </c>
      <c r="I91">
        <f t="shared" si="14"/>
        <v>9418940.228670927</v>
      </c>
      <c r="J91">
        <f t="shared" si="15"/>
        <v>10869136.824833233</v>
      </c>
    </row>
    <row r="92" spans="5:10" ht="12">
      <c r="E92">
        <f t="shared" si="11"/>
        <v>496</v>
      </c>
      <c r="F92">
        <f t="shared" si="10"/>
        <v>7.26982964913949E-05</v>
      </c>
      <c r="G92">
        <f t="shared" si="12"/>
        <v>656.9898938435493</v>
      </c>
      <c r="H92">
        <f t="shared" si="13"/>
        <v>487.3715428692033</v>
      </c>
      <c r="I92">
        <f t="shared" si="14"/>
        <v>9616620.960101308</v>
      </c>
      <c r="J92">
        <f t="shared" si="15"/>
        <v>11090318.216556039</v>
      </c>
    </row>
    <row r="93" spans="5:10" ht="12">
      <c r="E93">
        <f t="shared" si="11"/>
        <v>499.5</v>
      </c>
      <c r="F93">
        <f t="shared" si="10"/>
        <v>8.16269600632498E-05</v>
      </c>
      <c r="G93">
        <f t="shared" si="12"/>
        <v>625.8631181172825</v>
      </c>
      <c r="H93">
        <f t="shared" si="13"/>
        <v>490.71746327758194</v>
      </c>
      <c r="I93">
        <f t="shared" si="14"/>
        <v>9814301.691531688</v>
      </c>
      <c r="J93">
        <f t="shared" si="15"/>
        <v>11300423.952708343</v>
      </c>
    </row>
    <row r="94" spans="5:10" ht="12">
      <c r="E94">
        <f t="shared" si="11"/>
        <v>503</v>
      </c>
      <c r="F94">
        <f t="shared" si="10"/>
        <v>9.150459028049513E-05</v>
      </c>
      <c r="G94">
        <f t="shared" si="12"/>
        <v>596.3128549587981</v>
      </c>
      <c r="H94">
        <f t="shared" si="13"/>
        <v>494.06338368596056</v>
      </c>
      <c r="I94">
        <f t="shared" si="14"/>
        <v>10011982.42296207</v>
      </c>
      <c r="J94">
        <f t="shared" si="15"/>
        <v>11499888.22902811</v>
      </c>
    </row>
    <row r="95" spans="5:10" ht="12">
      <c r="E95">
        <f t="shared" si="11"/>
        <v>506.5</v>
      </c>
      <c r="F95">
        <f t="shared" si="10"/>
        <v>0.00010241569631260972</v>
      </c>
      <c r="G95">
        <f t="shared" si="12"/>
        <v>568.2731346220392</v>
      </c>
      <c r="H95">
        <f t="shared" si="13"/>
        <v>497.4093040943392</v>
      </c>
      <c r="I95">
        <f t="shared" si="14"/>
        <v>10209663.15439245</v>
      </c>
      <c r="J95">
        <f t="shared" si="15"/>
        <v>11689156.341301233</v>
      </c>
    </row>
    <row r="96" spans="5:10" ht="12">
      <c r="E96">
        <f t="shared" si="11"/>
        <v>510</v>
      </c>
      <c r="F96">
        <f t="shared" si="10"/>
        <v>0.00011445075512106056</v>
      </c>
      <c r="G96">
        <f t="shared" si="12"/>
        <v>541.6773140984864</v>
      </c>
      <c r="H96">
        <f t="shared" si="13"/>
        <v>500.7552245027178</v>
      </c>
      <c r="I96">
        <f t="shared" si="14"/>
        <v>10407343.885822829</v>
      </c>
      <c r="J96">
        <f t="shared" si="15"/>
        <v>11868678.129835216</v>
      </c>
    </row>
    <row r="97" spans="5:10" ht="12">
      <c r="E97">
        <f t="shared" si="11"/>
        <v>513.5</v>
      </c>
      <c r="F97">
        <f t="shared" si="10"/>
        <v>0.0001277065088324998</v>
      </c>
      <c r="G97">
        <f t="shared" si="12"/>
        <v>516.4588662400313</v>
      </c>
      <c r="H97">
        <f t="shared" si="13"/>
        <v>504.10114491109647</v>
      </c>
      <c r="I97">
        <f t="shared" si="14"/>
        <v>10605024.61725321</v>
      </c>
      <c r="J97">
        <f t="shared" si="15"/>
        <v>12038902.652879786</v>
      </c>
    </row>
    <row r="98" spans="5:10" ht="12">
      <c r="E98">
        <f t="shared" si="11"/>
        <v>517</v>
      </c>
      <c r="F98">
        <f t="shared" si="10"/>
        <v>0.00014228626899480564</v>
      </c>
      <c r="G98">
        <f t="shared" si="12"/>
        <v>492.5520119829937</v>
      </c>
      <c r="H98">
        <f t="shared" si="13"/>
        <v>507.4470653194751</v>
      </c>
      <c r="I98">
        <f t="shared" si="14"/>
        <v>10802705.34868359</v>
      </c>
      <c r="J98">
        <f t="shared" si="15"/>
        <v>12200273.919114793</v>
      </c>
    </row>
    <row r="99" spans="5:10" ht="12">
      <c r="E99">
        <f t="shared" si="11"/>
        <v>520.5</v>
      </c>
      <c r="F99">
        <f t="shared" si="10"/>
        <v>0.00015830022747592278</v>
      </c>
      <c r="G99">
        <f t="shared" si="12"/>
        <v>469.8922185919068</v>
      </c>
      <c r="H99">
        <f t="shared" si="13"/>
        <v>510.7929857278537</v>
      </c>
      <c r="I99">
        <f t="shared" si="14"/>
        <v>11000386.080113972</v>
      </c>
      <c r="J99">
        <f t="shared" si="15"/>
        <v>12353227.524504624</v>
      </c>
    </row>
    <row r="100" spans="5:10" ht="12">
      <c r="E100">
        <f t="shared" si="11"/>
        <v>524</v>
      </c>
      <c r="F100">
        <f aca="true" t="shared" si="16" ref="F100:F131">ko*EXP(-E/E100)</f>
        <v>0.00017586577374877895</v>
      </c>
      <c r="G100">
        <f t="shared" si="12"/>
        <v>448.41658445537433</v>
      </c>
      <c r="H100">
        <f t="shared" si="13"/>
        <v>514.1389061362323</v>
      </c>
      <c r="I100">
        <f t="shared" si="14"/>
        <v>11198066.811544351</v>
      </c>
      <c r="J100">
        <f t="shared" si="15"/>
        <v>12498188.054926222</v>
      </c>
    </row>
    <row r="101" spans="5:10" ht="12">
      <c r="E101">
        <f aca="true" t="shared" si="17" ref="E101:E136">E100+(Thi-Tlo)/100</f>
        <v>527.5</v>
      </c>
      <c r="F101">
        <f t="shared" si="16"/>
        <v>0.00019510781828953688</v>
      </c>
      <c r="G101">
        <f t="shared" si="12"/>
        <v>428.06412858762377</v>
      </c>
      <c r="H101">
        <f t="shared" si="13"/>
        <v>517.484826544611</v>
      </c>
      <c r="I101">
        <f t="shared" si="14"/>
        <v>11395747.542974733</v>
      </c>
      <c r="J101">
        <f t="shared" si="15"/>
        <v>12635567.132033534</v>
      </c>
    </row>
    <row r="102" spans="5:10" ht="12">
      <c r="E102">
        <f t="shared" si="17"/>
        <v>531</v>
      </c>
      <c r="F102">
        <f t="shared" si="16"/>
        <v>0.00021615912180115453</v>
      </c>
      <c r="G102">
        <f t="shared" si="12"/>
        <v>408.7760007122363</v>
      </c>
      <c r="H102">
        <f t="shared" si="13"/>
        <v>520.8307469529896</v>
      </c>
      <c r="I102">
        <f t="shared" si="14"/>
        <v>11593428.274405112</v>
      </c>
      <c r="J102">
        <f t="shared" si="15"/>
        <v>12765761.995192405</v>
      </c>
    </row>
    <row r="103" spans="5:10" ht="12">
      <c r="E103">
        <f t="shared" si="17"/>
        <v>534.5</v>
      </c>
      <c r="F103">
        <f t="shared" si="16"/>
        <v>0.00023916062995966975</v>
      </c>
      <c r="G103">
        <f t="shared" si="12"/>
        <v>390.49562568541694</v>
      </c>
      <c r="H103">
        <f t="shared" si="13"/>
        <v>524.1766673613682</v>
      </c>
      <c r="I103">
        <f t="shared" si="14"/>
        <v>11791109.005835492</v>
      </c>
      <c r="J103">
        <f t="shared" si="15"/>
        <v>12889154.526623432</v>
      </c>
    </row>
    <row r="104" spans="5:10" ht="12">
      <c r="E104">
        <f t="shared" si="17"/>
        <v>538</v>
      </c>
      <c r="F104">
        <f t="shared" si="16"/>
        <v>0.00026426181336688324</v>
      </c>
      <c r="G104">
        <f t="shared" si="12"/>
        <v>373.1687940848726</v>
      </c>
      <c r="H104">
        <f t="shared" si="13"/>
        <v>527.5225877697469</v>
      </c>
      <c r="I104">
        <f t="shared" si="14"/>
        <v>11988789.737265874</v>
      </c>
      <c r="J104">
        <f t="shared" si="15"/>
        <v>13006110.639927113</v>
      </c>
    </row>
    <row r="105" spans="5:10" ht="12">
      <c r="E105">
        <f t="shared" si="17"/>
        <v>541.5</v>
      </c>
      <c r="F105">
        <f t="shared" si="16"/>
        <v>0.0002916210123801614</v>
      </c>
      <c r="G105">
        <f t="shared" si="12"/>
        <v>356.74370905833644</v>
      </c>
      <c r="H105">
        <f t="shared" si="13"/>
        <v>530.8685081781255</v>
      </c>
      <c r="I105">
        <f t="shared" si="14"/>
        <v>12186470.468696253</v>
      </c>
      <c r="J105">
        <f t="shared" si="15"/>
        <v>13116979.963856228</v>
      </c>
    </row>
    <row r="106" spans="5:10" ht="12">
      <c r="E106">
        <f t="shared" si="17"/>
        <v>545</v>
      </c>
      <c r="F106">
        <f t="shared" si="16"/>
        <v>0.00032140578647800385</v>
      </c>
      <c r="G106">
        <f t="shared" si="12"/>
        <v>341.17099799211024</v>
      </c>
      <c r="H106">
        <f t="shared" si="13"/>
        <v>534.2144285865041</v>
      </c>
      <c r="I106">
        <f t="shared" si="14"/>
        <v>12384151.200126635</v>
      </c>
      <c r="J106">
        <f t="shared" si="15"/>
        <v>13222095.763553256</v>
      </c>
    </row>
    <row r="107" spans="5:10" ht="12">
      <c r="E107">
        <f t="shared" si="17"/>
        <v>548.5</v>
      </c>
      <c r="F107">
        <f t="shared" si="16"/>
        <v>0.00035379326780880425</v>
      </c>
      <c r="G107">
        <f t="shared" si="12"/>
        <v>326.4036962159832</v>
      </c>
      <c r="H107">
        <f t="shared" si="13"/>
        <v>537.5603489948827</v>
      </c>
      <c r="I107">
        <f t="shared" si="14"/>
        <v>12581831.931557015</v>
      </c>
      <c r="J107">
        <f t="shared" si="15"/>
        <v>13321775.05054211</v>
      </c>
    </row>
    <row r="108" spans="5:10" ht="12">
      <c r="E108">
        <f t="shared" si="17"/>
        <v>552</v>
      </c>
      <c r="F108">
        <f t="shared" si="16"/>
        <v>0.0003889705185598865</v>
      </c>
      <c r="G108">
        <f t="shared" si="12"/>
        <v>312.3972087932041</v>
      </c>
      <c r="H108">
        <f t="shared" si="13"/>
        <v>540.9062694032614</v>
      </c>
      <c r="I108">
        <f t="shared" si="14"/>
        <v>12779512.662987396</v>
      </c>
      <c r="J108">
        <f t="shared" si="15"/>
        <v>13416318.840645868</v>
      </c>
    </row>
    <row r="109" spans="5:10" ht="12">
      <c r="E109">
        <f t="shared" si="17"/>
        <v>555.5</v>
      </c>
      <c r="F109">
        <f t="shared" si="16"/>
        <v>0.00042713489177449894</v>
      </c>
      <c r="G109">
        <f t="shared" si="12"/>
        <v>299.10925543704207</v>
      </c>
      <c r="H109">
        <f t="shared" si="13"/>
        <v>544.25218981164</v>
      </c>
      <c r="I109">
        <f t="shared" si="14"/>
        <v>12977193.394417776</v>
      </c>
      <c r="J109">
        <f t="shared" si="15"/>
        <v>13506012.525799962</v>
      </c>
    </row>
    <row r="110" spans="5:10" ht="12">
      <c r="E110">
        <f t="shared" si="17"/>
        <v>559</v>
      </c>
      <c r="F110">
        <f t="shared" si="16"/>
        <v>0.000468494395235935</v>
      </c>
      <c r="G110">
        <f t="shared" si="12"/>
        <v>286.4998027323188</v>
      </c>
      <c r="H110">
        <f t="shared" si="13"/>
        <v>547.5981102200186</v>
      </c>
      <c r="I110">
        <f t="shared" si="14"/>
        <v>13174874.125848155</v>
      </c>
      <c r="J110">
        <f t="shared" si="15"/>
        <v>13591126.331556845</v>
      </c>
    </row>
    <row r="111" spans="5:10" ht="12">
      <c r="E111">
        <f t="shared" si="17"/>
        <v>562.5</v>
      </c>
      <c r="F111">
        <f t="shared" si="16"/>
        <v>0.0005132680580303538</v>
      </c>
      <c r="G111">
        <f t="shared" si="12"/>
        <v>274.5309871046322</v>
      </c>
      <c r="H111">
        <f t="shared" si="13"/>
        <v>550.9440306283973</v>
      </c>
      <c r="I111">
        <f t="shared" si="14"/>
        <v>13372554.857278537</v>
      </c>
      <c r="J111">
        <f t="shared" si="15"/>
        <v>13671915.837043734</v>
      </c>
    </row>
    <row r="112" spans="5:10" ht="12">
      <c r="E112">
        <f t="shared" si="17"/>
        <v>566</v>
      </c>
      <c r="F112">
        <f t="shared" si="16"/>
        <v>0.0005616862993932531</v>
      </c>
      <c r="G112">
        <f t="shared" si="12"/>
        <v>263.16703135611584</v>
      </c>
      <c r="H112">
        <f t="shared" si="13"/>
        <v>554.289951036776</v>
      </c>
      <c r="I112">
        <f t="shared" si="14"/>
        <v>13570235.588708919</v>
      </c>
      <c r="J112">
        <f t="shared" si="15"/>
        <v>13748622.538346218</v>
      </c>
    </row>
    <row r="113" spans="5:10" ht="12">
      <c r="E113">
        <f t="shared" si="17"/>
        <v>569.5</v>
      </c>
      <c r="F113">
        <f t="shared" si="16"/>
        <v>0.0006139912994387903</v>
      </c>
      <c r="G113">
        <f t="shared" si="12"/>
        <v>252.37415705996415</v>
      </c>
      <c r="H113">
        <f t="shared" si="13"/>
        <v>557.6358714451545</v>
      </c>
      <c r="I113">
        <f t="shared" si="14"/>
        <v>13767916.320139298</v>
      </c>
      <c r="J113">
        <f t="shared" si="15"/>
        <v>13821474.43984524</v>
      </c>
    </row>
    <row r="114" spans="5:10" ht="12">
      <c r="E114">
        <f t="shared" si="17"/>
        <v>573</v>
      </c>
      <c r="F114">
        <f t="shared" si="16"/>
        <v>0.0006704373713663861</v>
      </c>
      <c r="G114">
        <f t="shared" si="12"/>
        <v>242.1204946633168</v>
      </c>
      <c r="H114">
        <f t="shared" si="13"/>
        <v>560.9817918535332</v>
      </c>
      <c r="I114">
        <f t="shared" si="14"/>
        <v>13965597.051569678</v>
      </c>
      <c r="J114">
        <f t="shared" si="15"/>
        <v>13890686.661022613</v>
      </c>
    </row>
    <row r="115" spans="5:10" ht="12">
      <c r="E115">
        <f t="shared" si="17"/>
        <v>576.5</v>
      </c>
      <c r="F115">
        <f t="shared" si="16"/>
        <v>0.0007312913347351377</v>
      </c>
      <c r="G115">
        <f aca="true" t="shared" si="18" ref="G115:G136">(-1+SQRT(1+4*tau_R*F115*Cair))/(2*tau_R*F115)</f>
        <v>232.37599277762706</v>
      </c>
      <c r="H115">
        <f aca="true" t="shared" si="19" ref="H115:H136">E115-betar*(E115-Tci)</f>
        <v>564.3277122619118</v>
      </c>
      <c r="I115">
        <f aca="true" t="shared" si="20" ref="I115:I136">Fl*rho*Cp*(E115-Tir)+Fcr*rhoc*Cpc*(H115-Tci)</f>
        <v>14163277.78300006</v>
      </c>
      <c r="J115">
        <f aca="true" t="shared" si="21" ref="J115:J136">-Hr*V*F115*G115^2</f>
        <v>13956462.048751013</v>
      </c>
    </row>
    <row r="116" spans="5:10" ht="12">
      <c r="E116">
        <f t="shared" si="17"/>
        <v>580</v>
      </c>
      <c r="F116">
        <f t="shared" si="16"/>
        <v>0.0007968328893936459</v>
      </c>
      <c r="G116">
        <f t="shared" si="18"/>
        <v>223.11232782680676</v>
      </c>
      <c r="H116">
        <f t="shared" si="19"/>
        <v>567.6736326702904</v>
      </c>
      <c r="I116">
        <f t="shared" si="20"/>
        <v>14360958.51443044</v>
      </c>
      <c r="J116">
        <f t="shared" si="21"/>
        <v>14018991.78716905</v>
      </c>
    </row>
    <row r="117" spans="5:10" ht="12">
      <c r="E117">
        <f t="shared" si="17"/>
        <v>583.5</v>
      </c>
      <c r="F117">
        <f t="shared" si="16"/>
        <v>0.0008673549896507694</v>
      </c>
      <c r="G117">
        <f t="shared" si="18"/>
        <v>214.30281496707437</v>
      </c>
      <c r="H117">
        <f t="shared" si="19"/>
        <v>571.0195530786691</v>
      </c>
      <c r="I117">
        <f t="shared" si="20"/>
        <v>14558639.24586082</v>
      </c>
      <c r="J117">
        <f t="shared" si="21"/>
        <v>14078455.998972243</v>
      </c>
    </row>
    <row r="118" spans="5:10" ht="12">
      <c r="E118">
        <f t="shared" si="17"/>
        <v>587</v>
      </c>
      <c r="F118">
        <f t="shared" si="16"/>
        <v>0.0009431642182716635</v>
      </c>
      <c r="G118">
        <f t="shared" si="18"/>
        <v>205.92232098051673</v>
      </c>
      <c r="H118">
        <f t="shared" si="19"/>
        <v>574.3654734870477</v>
      </c>
      <c r="I118">
        <f t="shared" si="20"/>
        <v>14756319.9772912</v>
      </c>
      <c r="J118">
        <f t="shared" si="21"/>
        <v>14135024.333381513</v>
      </c>
    </row>
    <row r="119" spans="5:10" ht="12">
      <c r="E119">
        <f t="shared" si="17"/>
        <v>590.5</v>
      </c>
      <c r="F119">
        <f t="shared" si="16"/>
        <v>0.0010245811598831546</v>
      </c>
      <c r="G119">
        <f t="shared" si="18"/>
        <v>197.94717966999235</v>
      </c>
      <c r="H119">
        <f t="shared" si="19"/>
        <v>577.7113938954263</v>
      </c>
      <c r="I119">
        <f t="shared" si="20"/>
        <v>14954000.708721582</v>
      </c>
      <c r="J119">
        <f t="shared" si="21"/>
        <v>14188856.53722755</v>
      </c>
    </row>
    <row r="120" spans="5:10" ht="12">
      <c r="E120">
        <f t="shared" si="17"/>
        <v>594</v>
      </c>
      <c r="F120">
        <f t="shared" si="16"/>
        <v>0.0011119407733730623</v>
      </c>
      <c r="G120">
        <f t="shared" si="18"/>
        <v>190.3551101402157</v>
      </c>
      <c r="H120">
        <f t="shared" si="19"/>
        <v>581.0573143038049</v>
      </c>
      <c r="I120">
        <f t="shared" si="20"/>
        <v>15151681.440151962</v>
      </c>
      <c r="J120">
        <f t="shared" si="21"/>
        <v>14240103.006553542</v>
      </c>
    </row>
    <row r="121" spans="5:10" ht="12">
      <c r="E121">
        <f t="shared" si="17"/>
        <v>597.5</v>
      </c>
      <c r="F121">
        <f t="shared" si="16"/>
        <v>0.001205592762869438</v>
      </c>
      <c r="G121">
        <f t="shared" si="18"/>
        <v>183.12513823357324</v>
      </c>
      <c r="H121">
        <f t="shared" si="19"/>
        <v>584.4032347121836</v>
      </c>
      <c r="I121">
        <f t="shared" si="20"/>
        <v>15349362.171582341</v>
      </c>
      <c r="J121">
        <f t="shared" si="21"/>
        <v>14288905.316923382</v>
      </c>
    </row>
    <row r="122" spans="5:10" ht="12">
      <c r="E122">
        <f t="shared" si="17"/>
        <v>601</v>
      </c>
      <c r="F122">
        <f t="shared" si="16"/>
        <v>0.0013059019468879057</v>
      </c>
      <c r="G122">
        <f t="shared" si="18"/>
        <v>176.23752129509666</v>
      </c>
      <c r="H122">
        <f t="shared" si="19"/>
        <v>587.7491551205622</v>
      </c>
      <c r="I122">
        <f t="shared" si="20"/>
        <v>15547042.903012723</v>
      </c>
      <c r="J122">
        <f t="shared" si="21"/>
        <v>14335396.731258098</v>
      </c>
    </row>
    <row r="123" spans="5:10" ht="12">
      <c r="E123">
        <f t="shared" si="17"/>
        <v>604.5</v>
      </c>
      <c r="F123">
        <f t="shared" si="16"/>
        <v>0.001413248625238248</v>
      </c>
      <c r="G123">
        <f t="shared" si="18"/>
        <v>169.6736763653756</v>
      </c>
      <c r="H123">
        <f t="shared" si="19"/>
        <v>591.0950755289408</v>
      </c>
      <c r="I123">
        <f t="shared" si="20"/>
        <v>15744723.634443102</v>
      </c>
      <c r="J123">
        <f t="shared" si="21"/>
        <v>14379702.684533713</v>
      </c>
    </row>
    <row r="124" spans="5:10" ht="12">
      <c r="E124">
        <f t="shared" si="17"/>
        <v>608</v>
      </c>
      <c r="F124">
        <f t="shared" si="16"/>
        <v>0.0015280289432850977</v>
      </c>
      <c r="G124">
        <f t="shared" si="18"/>
        <v>163.41611183991202</v>
      </c>
      <c r="H124">
        <f t="shared" si="19"/>
        <v>594.4409959373195</v>
      </c>
      <c r="I124">
        <f t="shared" si="20"/>
        <v>15942404.365873484</v>
      </c>
      <c r="J124">
        <f t="shared" si="21"/>
        <v>14421941.245080596</v>
      </c>
    </row>
    <row r="125" spans="5:10" ht="12">
      <c r="E125">
        <f t="shared" si="17"/>
        <v>611.5</v>
      </c>
      <c r="F125">
        <f t="shared" si="16"/>
        <v>0.0016506552531620762</v>
      </c>
      <c r="G125">
        <f t="shared" si="18"/>
        <v>157.44836258586344</v>
      </c>
      <c r="H125">
        <f t="shared" si="19"/>
        <v>597.786916345698</v>
      </c>
      <c r="I125">
        <f t="shared" si="20"/>
        <v>16140085.097303864</v>
      </c>
      <c r="J125">
        <f t="shared" si="21"/>
        <v>14462223.55254542</v>
      </c>
    </row>
    <row r="126" spans="5:10" ht="12">
      <c r="E126">
        <f t="shared" si="17"/>
        <v>615</v>
      </c>
      <c r="F126">
        <f t="shared" si="16"/>
        <v>0.0017815564715438707</v>
      </c>
      <c r="G126">
        <f t="shared" si="18"/>
        <v>151.7549284700842</v>
      </c>
      <c r="H126">
        <f t="shared" si="19"/>
        <v>601.1328367540767</v>
      </c>
      <c r="I126">
        <f t="shared" si="20"/>
        <v>16337765.828734245</v>
      </c>
      <c r="J126">
        <f t="shared" si="21"/>
        <v>14500654.23282693</v>
      </c>
    </row>
    <row r="127" spans="5:10" ht="12">
      <c r="E127">
        <f t="shared" si="17"/>
        <v>618.5</v>
      </c>
      <c r="F127">
        <f t="shared" si="16"/>
        <v>0.001921178433586549</v>
      </c>
      <c r="G127">
        <f t="shared" si="18"/>
        <v>146.32121622398253</v>
      </c>
      <c r="H127">
        <f t="shared" si="19"/>
        <v>604.4787571624554</v>
      </c>
      <c r="I127">
        <f t="shared" si="20"/>
        <v>16535446.560164625</v>
      </c>
      <c r="J127">
        <f t="shared" si="21"/>
        <v>14537331.790488115</v>
      </c>
    </row>
    <row r="128" spans="5:10" ht="12">
      <c r="E128">
        <f t="shared" si="17"/>
        <v>622</v>
      </c>
      <c r="F128">
        <f t="shared" si="16"/>
        <v>0.0020699842426528925</v>
      </c>
      <c r="G128">
        <f t="shared" si="18"/>
        <v>141.13348454941007</v>
      </c>
      <c r="H128">
        <f t="shared" si="19"/>
        <v>607.824677570834</v>
      </c>
      <c r="I128">
        <f t="shared" si="20"/>
        <v>16733127.291595004</v>
      </c>
      <c r="J128">
        <f t="shared" si="21"/>
        <v>14572348.97929148</v>
      </c>
    </row>
    <row r="129" spans="5:10" ht="12">
      <c r="E129">
        <f t="shared" si="17"/>
        <v>625.5</v>
      </c>
      <c r="F129">
        <f t="shared" si="16"/>
        <v>0.002228454615446647</v>
      </c>
      <c r="G129">
        <f t="shared" si="18"/>
        <v>136.17879235428094</v>
      </c>
      <c r="H129">
        <f t="shared" si="19"/>
        <v>611.1705979792126</v>
      </c>
      <c r="I129">
        <f t="shared" si="20"/>
        <v>16930808.023025386</v>
      </c>
      <c r="J129">
        <f t="shared" si="21"/>
        <v>14605793.151608601</v>
      </c>
    </row>
    <row r="130" spans="5:10" ht="12">
      <c r="E130">
        <f t="shared" si="17"/>
        <v>629</v>
      </c>
      <c r="F130">
        <f t="shared" si="16"/>
        <v>0.0023970882221871262</v>
      </c>
      <c r="G130">
        <f t="shared" si="18"/>
        <v>131.44494999580135</v>
      </c>
      <c r="H130">
        <f t="shared" si="19"/>
        <v>614.5165183875913</v>
      </c>
      <c r="I130">
        <f t="shared" si="20"/>
        <v>17128488.754455768</v>
      </c>
      <c r="J130">
        <f t="shared" si="21"/>
        <v>14637746.587528342</v>
      </c>
    </row>
    <row r="131" spans="5:10" ht="12">
      <c r="E131">
        <f t="shared" si="17"/>
        <v>632.5</v>
      </c>
      <c r="F131">
        <f t="shared" si="16"/>
        <v>0.0025764020214639294</v>
      </c>
      <c r="G131">
        <f t="shared" si="18"/>
        <v>126.92047340215318</v>
      </c>
      <c r="H131">
        <f t="shared" si="19"/>
        <v>617.8624387959699</v>
      </c>
      <c r="I131">
        <f t="shared" si="20"/>
        <v>17326169.485886145</v>
      </c>
      <c r="J131">
        <f t="shared" si="21"/>
        <v>14668286.804535465</v>
      </c>
    </row>
    <row r="132" spans="5:10" ht="12">
      <c r="E132">
        <f t="shared" si="17"/>
        <v>636</v>
      </c>
      <c r="F132">
        <f>ko*EXP(-E/E132)</f>
        <v>0.0027669315894201557</v>
      </c>
      <c r="G132">
        <f t="shared" si="18"/>
        <v>122.59454093948669</v>
      </c>
      <c r="H132">
        <f t="shared" si="19"/>
        <v>621.2083592043485</v>
      </c>
      <c r="I132">
        <f t="shared" si="20"/>
        <v>17523850.217316527</v>
      </c>
      <c r="J132">
        <f t="shared" si="21"/>
        <v>14697486.848658463</v>
      </c>
    </row>
    <row r="133" spans="5:10" ht="12">
      <c r="E133">
        <f t="shared" si="17"/>
        <v>639.5</v>
      </c>
      <c r="F133">
        <f>ko*EXP(-E/E133)</f>
        <v>0.002969231442921701</v>
      </c>
      <c r="G133">
        <f t="shared" si="18"/>
        <v>118.45695288949713</v>
      </c>
      <c r="H133">
        <f t="shared" si="19"/>
        <v>624.5542796127271</v>
      </c>
      <c r="I133">
        <f t="shared" si="20"/>
        <v>17721530.94874691</v>
      </c>
      <c r="J133">
        <f t="shared" si="21"/>
        <v>14725415.567995891</v>
      </c>
    </row>
    <row r="134" spans="5:10" ht="12">
      <c r="E134">
        <f t="shared" si="17"/>
        <v>643</v>
      </c>
      <c r="F134">
        <f>ko*EXP(-E/E134)</f>
        <v>0.00318387535637983</v>
      </c>
      <c r="G134">
        <f t="shared" si="18"/>
        <v>114.4980934031844</v>
      </c>
      <c r="H134">
        <f t="shared" si="19"/>
        <v>627.9002000211058</v>
      </c>
      <c r="I134">
        <f t="shared" si="20"/>
        <v>17919211.68017729</v>
      </c>
      <c r="J134">
        <f t="shared" si="21"/>
        <v>14752137.869528506</v>
      </c>
    </row>
    <row r="135" spans="5:10" ht="12">
      <c r="E135">
        <f t="shared" si="17"/>
        <v>646.5</v>
      </c>
      <c r="F135">
        <f>ko*EXP(-E/E135)</f>
        <v>0.0034114566719042954</v>
      </c>
      <c r="G135">
        <f t="shared" si="18"/>
        <v>110.70889479819445</v>
      </c>
      <c r="H135">
        <f t="shared" si="19"/>
        <v>631.2461204294844</v>
      </c>
      <c r="I135">
        <f t="shared" si="20"/>
        <v>18116892.411607668</v>
      </c>
      <c r="J135">
        <f t="shared" si="21"/>
        <v>14777714.960112188</v>
      </c>
    </row>
    <row r="136" spans="5:10" ht="12">
      <c r="E136">
        <f t="shared" si="17"/>
        <v>650</v>
      </c>
      <c r="F136">
        <f>ko*EXP(-E/E136)</f>
        <v>0.0036525886024746193</v>
      </c>
      <c r="G136">
        <f t="shared" si="18"/>
        <v>107.0808040700731</v>
      </c>
      <c r="H136">
        <f t="shared" si="19"/>
        <v>634.592040837863</v>
      </c>
      <c r="I136">
        <f t="shared" si="20"/>
        <v>18314573.14303805</v>
      </c>
      <c r="J136">
        <f t="shared" si="21"/>
        <v>14802204.572527006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Department of Chemical Engr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Barry S. Johnston</cp:lastModifiedBy>
  <cp:lastPrinted>2002-03-08T21:08:14Z</cp:lastPrinted>
  <dcterms:created xsi:type="dcterms:W3CDTF">2002-03-04T01:48:40Z</dcterms:created>
  <dcterms:modified xsi:type="dcterms:W3CDTF">2006-03-30T15:05:11Z</dcterms:modified>
  <cp:category/>
  <cp:version/>
  <cp:contentType/>
  <cp:contentStatus/>
</cp:coreProperties>
</file>